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28860" windowHeight="6000" activeTab="1"/>
  </bookViews>
  <sheets>
    <sheet name="2.1" sheetId="6" r:id="rId1"/>
    <sheet name="Rev01 2.2 (2)" sheetId="5" r:id="rId2"/>
    <sheet name="Sheet1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2" i="5"/>
  <c r="O181"/>
  <c r="O180"/>
  <c r="O179"/>
  <c r="O178"/>
  <c r="O177"/>
  <c r="O176"/>
  <c r="O175"/>
  <c r="O174"/>
  <c r="O173"/>
  <c r="O172"/>
  <c r="G155"/>
  <c r="G154"/>
  <c r="G110"/>
  <c r="G109"/>
  <c r="G82"/>
  <c r="G75"/>
  <c r="G74"/>
  <c r="G69"/>
  <c r="G14"/>
  <c r="K88" l="1"/>
  <c r="L88"/>
  <c r="I181" l="1"/>
  <c r="I180"/>
  <c r="I179"/>
  <c r="I176"/>
  <c r="I175"/>
  <c r="I174"/>
  <c r="I173"/>
  <c r="I182"/>
  <c r="I172"/>
  <c r="E82"/>
  <c r="E75"/>
  <c r="E74"/>
  <c r="E43"/>
  <c r="H111"/>
  <c r="H108"/>
  <c r="H105"/>
  <c r="H104"/>
  <c r="J82"/>
  <c r="J78"/>
  <c r="J74"/>
  <c r="J73"/>
  <c r="J61"/>
  <c r="J67" s="1"/>
  <c r="H78"/>
  <c r="H73"/>
  <c r="H61"/>
  <c r="H67" s="1"/>
  <c r="X182"/>
  <c r="X181"/>
  <c r="X180"/>
  <c r="X179"/>
  <c r="X178"/>
  <c r="X176"/>
  <c r="X175"/>
  <c r="X174"/>
  <c r="X173"/>
  <c r="X172"/>
  <c r="R182"/>
  <c r="R181"/>
  <c r="R180"/>
  <c r="R179"/>
  <c r="R178"/>
  <c r="R176"/>
  <c r="R175"/>
  <c r="R174"/>
  <c r="R173"/>
  <c r="R172"/>
  <c r="L182"/>
  <c r="L181"/>
  <c r="L180"/>
  <c r="L179"/>
  <c r="L176"/>
  <c r="L175"/>
  <c r="L174"/>
  <c r="L173"/>
  <c r="L172"/>
  <c r="F172"/>
  <c r="F182"/>
  <c r="F181"/>
  <c r="F180"/>
  <c r="F179"/>
  <c r="F177" s="1"/>
  <c r="F176"/>
  <c r="F175"/>
  <c r="F174"/>
  <c r="F173"/>
  <c r="C151"/>
  <c r="I177" l="1"/>
  <c r="F183"/>
  <c r="H113"/>
  <c r="F111"/>
  <c r="F108"/>
  <c r="F104"/>
  <c r="F102" s="1"/>
  <c r="F107" s="1"/>
  <c r="F93"/>
  <c r="D111"/>
  <c r="D108"/>
  <c r="D102"/>
  <c r="D107" s="1"/>
  <c r="D93"/>
  <c r="D88"/>
  <c r="F88"/>
  <c r="F78"/>
  <c r="F130" s="1"/>
  <c r="F73"/>
  <c r="F83" s="1"/>
  <c r="F61"/>
  <c r="F67" s="1"/>
  <c r="F24"/>
  <c r="F20"/>
  <c r="F40"/>
  <c r="C161"/>
  <c r="C182" s="1"/>
  <c r="C160"/>
  <c r="C181" s="1"/>
  <c r="C159"/>
  <c r="C158"/>
  <c r="C155"/>
  <c r="C154"/>
  <c r="C153"/>
  <c r="C174" s="1"/>
  <c r="C173"/>
  <c r="C179"/>
  <c r="C176"/>
  <c r="C175"/>
  <c r="C172"/>
  <c r="C77"/>
  <c r="C82" s="1"/>
  <c r="C75"/>
  <c r="D82"/>
  <c r="D113" l="1"/>
  <c r="D114" s="1"/>
  <c r="F113"/>
  <c r="F114"/>
  <c r="C156"/>
  <c r="C162" s="1"/>
  <c r="C180"/>
  <c r="C177" l="1"/>
  <c r="K109"/>
  <c r="G156" l="1"/>
  <c r="J213" l="1"/>
  <c r="J215" s="1"/>
  <c r="I213"/>
  <c r="I214" s="1"/>
  <c r="H213"/>
  <c r="H215" s="1"/>
  <c r="G213"/>
  <c r="G214" s="1"/>
  <c r="F213"/>
  <c r="F215" s="1"/>
  <c r="E213"/>
  <c r="E214" s="1"/>
  <c r="D213"/>
  <c r="D215" s="1"/>
  <c r="C213"/>
  <c r="C214" s="1"/>
  <c r="J206"/>
  <c r="H206"/>
  <c r="F206"/>
  <c r="D206"/>
  <c r="I205"/>
  <c r="G205"/>
  <c r="E205"/>
  <c r="C205"/>
  <c r="J204"/>
  <c r="H204"/>
  <c r="F204"/>
  <c r="D204"/>
  <c r="I203"/>
  <c r="G203"/>
  <c r="E203"/>
  <c r="C203"/>
  <c r="J192"/>
  <c r="J99" s="1"/>
  <c r="I192"/>
  <c r="I99" s="1"/>
  <c r="H192"/>
  <c r="H99" s="1"/>
  <c r="G192"/>
  <c r="G99" s="1"/>
  <c r="F192"/>
  <c r="F99" s="1"/>
  <c r="F100" s="1"/>
  <c r="F106" s="1"/>
  <c r="F112" s="1"/>
  <c r="F115" s="1"/>
  <c r="E192"/>
  <c r="E99" s="1"/>
  <c r="D192"/>
  <c r="D99" s="1"/>
  <c r="D100" s="1"/>
  <c r="D106" s="1"/>
  <c r="D112" s="1"/>
  <c r="D115" s="1"/>
  <c r="C192"/>
  <c r="C99" s="1"/>
  <c r="L191"/>
  <c r="K191"/>
  <c r="L190"/>
  <c r="K190"/>
  <c r="L189"/>
  <c r="K189"/>
  <c r="K187"/>
  <c r="I187"/>
  <c r="G187"/>
  <c r="E187"/>
  <c r="C187"/>
  <c r="AF182"/>
  <c r="AE182"/>
  <c r="AD182"/>
  <c r="AC182"/>
  <c r="AB182"/>
  <c r="AF181"/>
  <c r="AE181"/>
  <c r="AD181"/>
  <c r="AC181"/>
  <c r="AB181"/>
  <c r="AA181"/>
  <c r="AF180"/>
  <c r="AE180"/>
  <c r="AD180"/>
  <c r="AC180"/>
  <c r="AB180"/>
  <c r="AA180"/>
  <c r="AF179"/>
  <c r="AE179"/>
  <c r="AD179"/>
  <c r="AC179"/>
  <c r="AB179"/>
  <c r="AA179"/>
  <c r="AF178"/>
  <c r="AE178"/>
  <c r="AD178"/>
  <c r="AC178"/>
  <c r="AB178"/>
  <c r="AA178"/>
  <c r="Z177"/>
  <c r="Z183" s="1"/>
  <c r="Y177"/>
  <c r="Y183" s="1"/>
  <c r="W177"/>
  <c r="W183" s="1"/>
  <c r="V177"/>
  <c r="V183" s="1"/>
  <c r="U177"/>
  <c r="U183" s="1"/>
  <c r="T177"/>
  <c r="T183" s="1"/>
  <c r="S177"/>
  <c r="S183" s="1"/>
  <c r="Q177"/>
  <c r="Q183" s="1"/>
  <c r="P177"/>
  <c r="P183" s="1"/>
  <c r="O183"/>
  <c r="N177"/>
  <c r="N183" s="1"/>
  <c r="M177"/>
  <c r="M183" s="1"/>
  <c r="K177"/>
  <c r="K183" s="1"/>
  <c r="J177"/>
  <c r="J183" s="1"/>
  <c r="I183"/>
  <c r="AA182" s="1"/>
  <c r="H177"/>
  <c r="H183" s="1"/>
  <c r="G177"/>
  <c r="G183" s="1"/>
  <c r="E177"/>
  <c r="E183" s="1"/>
  <c r="D177"/>
  <c r="D183" s="1"/>
  <c r="C183"/>
  <c r="AF176"/>
  <c r="AE176"/>
  <c r="AD176"/>
  <c r="AC176"/>
  <c r="AB176"/>
  <c r="AA176"/>
  <c r="AF175"/>
  <c r="AE175"/>
  <c r="AD175"/>
  <c r="AC175"/>
  <c r="AB175"/>
  <c r="AA175"/>
  <c r="AF174"/>
  <c r="AE174"/>
  <c r="AD174"/>
  <c r="AC174"/>
  <c r="AB174"/>
  <c r="AA174"/>
  <c r="AF173"/>
  <c r="AE173"/>
  <c r="AD173"/>
  <c r="AC173"/>
  <c r="AB173"/>
  <c r="AA173"/>
  <c r="AF172"/>
  <c r="AE172"/>
  <c r="AD172"/>
  <c r="AC172"/>
  <c r="AB172"/>
  <c r="AA172"/>
  <c r="AA170"/>
  <c r="U170"/>
  <c r="O170"/>
  <c r="I170"/>
  <c r="C170"/>
  <c r="L161"/>
  <c r="K161"/>
  <c r="L160"/>
  <c r="K160"/>
  <c r="L159"/>
  <c r="K159"/>
  <c r="L158"/>
  <c r="K158"/>
  <c r="L157"/>
  <c r="K157"/>
  <c r="J156"/>
  <c r="I156"/>
  <c r="I162" s="1"/>
  <c r="H156"/>
  <c r="G162"/>
  <c r="F156"/>
  <c r="E156"/>
  <c r="D156"/>
  <c r="D162" s="1"/>
  <c r="L155"/>
  <c r="K155"/>
  <c r="L154"/>
  <c r="K154"/>
  <c r="L153"/>
  <c r="K153"/>
  <c r="L152"/>
  <c r="K152"/>
  <c r="L151"/>
  <c r="K151"/>
  <c r="K150"/>
  <c r="I150"/>
  <c r="G150"/>
  <c r="E150"/>
  <c r="C150"/>
  <c r="K145"/>
  <c r="K105" s="1"/>
  <c r="J140"/>
  <c r="J146" s="1"/>
  <c r="J103" s="1"/>
  <c r="L144"/>
  <c r="L104" s="1"/>
  <c r="K144"/>
  <c r="K104" s="1"/>
  <c r="L143"/>
  <c r="K143"/>
  <c r="L142"/>
  <c r="K142"/>
  <c r="L141"/>
  <c r="K141"/>
  <c r="I140"/>
  <c r="I146" s="1"/>
  <c r="I103" s="1"/>
  <c r="H140"/>
  <c r="H146" s="1"/>
  <c r="H103" s="1"/>
  <c r="H102" s="1"/>
  <c r="H107" s="1"/>
  <c r="H114" s="1"/>
  <c r="G140"/>
  <c r="G146" s="1"/>
  <c r="G103" s="1"/>
  <c r="F140"/>
  <c r="F146" s="1"/>
  <c r="E140"/>
  <c r="E146" s="1"/>
  <c r="E103" s="1"/>
  <c r="D140"/>
  <c r="D146" s="1"/>
  <c r="C140"/>
  <c r="C146" s="1"/>
  <c r="C103" s="1"/>
  <c r="L139"/>
  <c r="K139"/>
  <c r="L138"/>
  <c r="K138"/>
  <c r="L137"/>
  <c r="K137"/>
  <c r="L136"/>
  <c r="K136"/>
  <c r="L135"/>
  <c r="K135"/>
  <c r="K134"/>
  <c r="I134"/>
  <c r="G134"/>
  <c r="E134"/>
  <c r="C134"/>
  <c r="L130"/>
  <c r="K130"/>
  <c r="K120"/>
  <c r="I120"/>
  <c r="G120"/>
  <c r="E120"/>
  <c r="C120"/>
  <c r="J111"/>
  <c r="I111"/>
  <c r="G111"/>
  <c r="E111"/>
  <c r="C111"/>
  <c r="L110"/>
  <c r="K110"/>
  <c r="L109"/>
  <c r="J108"/>
  <c r="I108"/>
  <c r="G108"/>
  <c r="E108"/>
  <c r="C108"/>
  <c r="I105"/>
  <c r="G105"/>
  <c r="E105"/>
  <c r="C105"/>
  <c r="J104"/>
  <c r="I104"/>
  <c r="G104"/>
  <c r="E104"/>
  <c r="C104"/>
  <c r="L101"/>
  <c r="K101"/>
  <c r="L98"/>
  <c r="K98"/>
  <c r="L97"/>
  <c r="K97"/>
  <c r="L96"/>
  <c r="K96"/>
  <c r="L95"/>
  <c r="K95"/>
  <c r="L94"/>
  <c r="K94"/>
  <c r="J93"/>
  <c r="I93"/>
  <c r="H93"/>
  <c r="H100" s="1"/>
  <c r="H106" s="1"/>
  <c r="G93"/>
  <c r="E93"/>
  <c r="C93"/>
  <c r="J88"/>
  <c r="I88"/>
  <c r="H88"/>
  <c r="G88"/>
  <c r="E88"/>
  <c r="C88"/>
  <c r="K87"/>
  <c r="I87"/>
  <c r="G87"/>
  <c r="E87"/>
  <c r="C87"/>
  <c r="J130"/>
  <c r="I78"/>
  <c r="I130" s="1"/>
  <c r="H130"/>
  <c r="G78"/>
  <c r="G130" s="1"/>
  <c r="E78"/>
  <c r="E130" s="1"/>
  <c r="D78"/>
  <c r="D130" s="1"/>
  <c r="C78"/>
  <c r="I73"/>
  <c r="I217" s="1"/>
  <c r="I218" s="1"/>
  <c r="H217"/>
  <c r="H219" s="1"/>
  <c r="G73"/>
  <c r="G83" s="1"/>
  <c r="F217"/>
  <c r="F219" s="1"/>
  <c r="E73"/>
  <c r="E217" s="1"/>
  <c r="E218" s="1"/>
  <c r="D73"/>
  <c r="D217" s="1"/>
  <c r="D219" s="1"/>
  <c r="C73"/>
  <c r="C217" s="1"/>
  <c r="C218" s="1"/>
  <c r="J208"/>
  <c r="J210" s="1"/>
  <c r="I61"/>
  <c r="I208" s="1"/>
  <c r="I209" s="1"/>
  <c r="G61"/>
  <c r="G67" s="1"/>
  <c r="F208"/>
  <c r="F210" s="1"/>
  <c r="E61"/>
  <c r="E208" s="1"/>
  <c r="E209" s="1"/>
  <c r="D61"/>
  <c r="D67" s="1"/>
  <c r="C61"/>
  <c r="C208" s="1"/>
  <c r="C209" s="1"/>
  <c r="I57"/>
  <c r="G57"/>
  <c r="E57"/>
  <c r="C57"/>
  <c r="L52"/>
  <c r="K52"/>
  <c r="L51"/>
  <c r="K51"/>
  <c r="L47"/>
  <c r="K47"/>
  <c r="L46"/>
  <c r="K46"/>
  <c r="L45"/>
  <c r="K45"/>
  <c r="L44"/>
  <c r="K44"/>
  <c r="L43"/>
  <c r="K43"/>
  <c r="L42"/>
  <c r="K42"/>
  <c r="L41"/>
  <c r="K41"/>
  <c r="J40"/>
  <c r="I40"/>
  <c r="H40"/>
  <c r="G40"/>
  <c r="E40"/>
  <c r="D40"/>
  <c r="C40"/>
  <c r="L39"/>
  <c r="K39"/>
  <c r="L38"/>
  <c r="K38"/>
  <c r="L37"/>
  <c r="K37"/>
  <c r="J36"/>
  <c r="I36"/>
  <c r="H36"/>
  <c r="G36"/>
  <c r="F36"/>
  <c r="E36"/>
  <c r="D36"/>
  <c r="F129" s="1"/>
  <c r="C36"/>
  <c r="K35"/>
  <c r="I35"/>
  <c r="G35"/>
  <c r="E35"/>
  <c r="C35"/>
  <c r="L29"/>
  <c r="K29"/>
  <c r="L27"/>
  <c r="K27"/>
  <c r="L26"/>
  <c r="K26"/>
  <c r="L25"/>
  <c r="K25"/>
  <c r="J24"/>
  <c r="I24"/>
  <c r="H24"/>
  <c r="G24"/>
  <c r="E24"/>
  <c r="D24"/>
  <c r="C24"/>
  <c r="L23"/>
  <c r="K23"/>
  <c r="L22"/>
  <c r="K22"/>
  <c r="L21"/>
  <c r="K21"/>
  <c r="J20"/>
  <c r="I20"/>
  <c r="H20"/>
  <c r="G20"/>
  <c r="E20"/>
  <c r="D20"/>
  <c r="C20"/>
  <c r="L19"/>
  <c r="K19"/>
  <c r="L18"/>
  <c r="K18"/>
  <c r="L17"/>
  <c r="K17"/>
  <c r="L16"/>
  <c r="K16"/>
  <c r="L15"/>
  <c r="K15"/>
  <c r="L14"/>
  <c r="K14"/>
  <c r="J13"/>
  <c r="I13"/>
  <c r="H13"/>
  <c r="G13"/>
  <c r="F13"/>
  <c r="E13"/>
  <c r="D13"/>
  <c r="C13"/>
  <c r="K12"/>
  <c r="I12"/>
  <c r="G12"/>
  <c r="E12"/>
  <c r="C12"/>
  <c r="B6"/>
  <c r="L187" s="1"/>
  <c r="H112" l="1"/>
  <c r="H115" s="1"/>
  <c r="H162"/>
  <c r="R177"/>
  <c r="R183" s="1"/>
  <c r="J162"/>
  <c r="X177"/>
  <c r="X183" s="1"/>
  <c r="D28"/>
  <c r="F128"/>
  <c r="F162"/>
  <c r="L177"/>
  <c r="L183" s="1"/>
  <c r="C102"/>
  <c r="C107" s="1"/>
  <c r="K215"/>
  <c r="J28"/>
  <c r="J30" s="1"/>
  <c r="K204"/>
  <c r="L192"/>
  <c r="L99" s="1"/>
  <c r="E162"/>
  <c r="K206"/>
  <c r="I28"/>
  <c r="I30" s="1"/>
  <c r="L145"/>
  <c r="L105" s="1"/>
  <c r="K192"/>
  <c r="K99" s="1"/>
  <c r="E28"/>
  <c r="E30" s="1"/>
  <c r="L93"/>
  <c r="L40"/>
  <c r="F28"/>
  <c r="C130"/>
  <c r="AA177"/>
  <c r="AA183" s="1"/>
  <c r="AD177"/>
  <c r="AD183" s="1"/>
  <c r="AE177"/>
  <c r="AE183" s="1"/>
  <c r="AF177"/>
  <c r="AF183" s="1"/>
  <c r="K111"/>
  <c r="K24"/>
  <c r="AB177"/>
  <c r="AB183" s="1"/>
  <c r="L156"/>
  <c r="L162" s="1"/>
  <c r="K156"/>
  <c r="K162" s="1"/>
  <c r="L24"/>
  <c r="E48"/>
  <c r="I48"/>
  <c r="L36"/>
  <c r="K203"/>
  <c r="K140"/>
  <c r="K146" s="1"/>
  <c r="K103" s="1"/>
  <c r="K102" s="1"/>
  <c r="K107" s="1"/>
  <c r="I100"/>
  <c r="I106" s="1"/>
  <c r="F48"/>
  <c r="F121" s="1"/>
  <c r="J48"/>
  <c r="J100"/>
  <c r="C113"/>
  <c r="G113"/>
  <c r="E102"/>
  <c r="E107" s="1"/>
  <c r="I102"/>
  <c r="I107" s="1"/>
  <c r="C28"/>
  <c r="G28"/>
  <c r="K20"/>
  <c r="I129"/>
  <c r="G48"/>
  <c r="K40"/>
  <c r="C100"/>
  <c r="C106" s="1"/>
  <c r="G100"/>
  <c r="G106" s="1"/>
  <c r="D150"/>
  <c r="H150"/>
  <c r="L150"/>
  <c r="D30"/>
  <c r="H28"/>
  <c r="L111"/>
  <c r="L20"/>
  <c r="J129"/>
  <c r="H48"/>
  <c r="K36"/>
  <c r="K93"/>
  <c r="E113"/>
  <c r="I113"/>
  <c r="G102"/>
  <c r="G107" s="1"/>
  <c r="AC177"/>
  <c r="AC183" s="1"/>
  <c r="E100"/>
  <c r="E106" s="1"/>
  <c r="J113"/>
  <c r="F150"/>
  <c r="K205"/>
  <c r="J150"/>
  <c r="J217"/>
  <c r="J219" s="1"/>
  <c r="K219" s="1"/>
  <c r="J83"/>
  <c r="G84"/>
  <c r="K214"/>
  <c r="C67"/>
  <c r="E83"/>
  <c r="E128"/>
  <c r="I128"/>
  <c r="E129"/>
  <c r="F12"/>
  <c r="J12"/>
  <c r="L13"/>
  <c r="F35"/>
  <c r="J35"/>
  <c r="D48"/>
  <c r="F57"/>
  <c r="J57"/>
  <c r="D83"/>
  <c r="D84" s="1"/>
  <c r="H83"/>
  <c r="H84" s="1"/>
  <c r="D87"/>
  <c r="H87"/>
  <c r="L87"/>
  <c r="J105"/>
  <c r="J102" s="1"/>
  <c r="J107" s="1"/>
  <c r="L108"/>
  <c r="D120"/>
  <c r="H120"/>
  <c r="L120"/>
  <c r="D128"/>
  <c r="H128"/>
  <c r="D129"/>
  <c r="H129"/>
  <c r="F134"/>
  <c r="J134"/>
  <c r="F170"/>
  <c r="R170"/>
  <c r="AD170"/>
  <c r="F187"/>
  <c r="J187"/>
  <c r="D208"/>
  <c r="D210" s="1"/>
  <c r="H208"/>
  <c r="H210" s="1"/>
  <c r="K210" s="1"/>
  <c r="E67"/>
  <c r="C83"/>
  <c r="K108"/>
  <c r="C128"/>
  <c r="C129"/>
  <c r="G208"/>
  <c r="G209" s="1"/>
  <c r="K209" s="1"/>
  <c r="G217"/>
  <c r="G218" s="1"/>
  <c r="K218" s="1"/>
  <c r="K13"/>
  <c r="C48"/>
  <c r="I67"/>
  <c r="G128"/>
  <c r="G129"/>
  <c r="D12"/>
  <c r="H12"/>
  <c r="L12"/>
  <c r="D35"/>
  <c r="H35"/>
  <c r="L35"/>
  <c r="D57"/>
  <c r="H57"/>
  <c r="F87"/>
  <c r="J87"/>
  <c r="F120"/>
  <c r="J120"/>
  <c r="J128"/>
  <c r="D134"/>
  <c r="H134"/>
  <c r="L134"/>
  <c r="L170"/>
  <c r="X170"/>
  <c r="D187"/>
  <c r="H187"/>
  <c r="I83"/>
  <c r="L100" l="1"/>
  <c r="L106" s="1"/>
  <c r="F30"/>
  <c r="F122"/>
  <c r="F123" s="1"/>
  <c r="J122"/>
  <c r="F50"/>
  <c r="F53" s="1"/>
  <c r="D121"/>
  <c r="C121"/>
  <c r="C30"/>
  <c r="C124" s="1"/>
  <c r="C122"/>
  <c r="L48"/>
  <c r="E50"/>
  <c r="E53" s="1"/>
  <c r="H50"/>
  <c r="H53" s="1"/>
  <c r="I50"/>
  <c r="I53" s="1"/>
  <c r="K100"/>
  <c r="K106" s="1"/>
  <c r="K112" s="1"/>
  <c r="G112"/>
  <c r="G115" s="1"/>
  <c r="L140"/>
  <c r="L146" s="1"/>
  <c r="L103" s="1"/>
  <c r="L102" s="1"/>
  <c r="L107" s="1"/>
  <c r="C112"/>
  <c r="C115" s="1"/>
  <c r="K48"/>
  <c r="G122"/>
  <c r="I114"/>
  <c r="E114"/>
  <c r="K113"/>
  <c r="G30"/>
  <c r="G126" s="1"/>
  <c r="L113"/>
  <c r="D122"/>
  <c r="K28"/>
  <c r="I122"/>
  <c r="E122"/>
  <c r="I112"/>
  <c r="I115" s="1"/>
  <c r="C84"/>
  <c r="H121"/>
  <c r="G121"/>
  <c r="E121"/>
  <c r="H30"/>
  <c r="H126" s="1"/>
  <c r="J121"/>
  <c r="H122"/>
  <c r="G114"/>
  <c r="J106"/>
  <c r="J112" s="1"/>
  <c r="J115" s="1"/>
  <c r="G50"/>
  <c r="G53" s="1"/>
  <c r="C114"/>
  <c r="F84"/>
  <c r="J50"/>
  <c r="J53" s="1"/>
  <c r="E112"/>
  <c r="E115" s="1"/>
  <c r="I121"/>
  <c r="J114"/>
  <c r="L28"/>
  <c r="E124"/>
  <c r="E126"/>
  <c r="C50"/>
  <c r="C53" s="1"/>
  <c r="J84"/>
  <c r="D50"/>
  <c r="D53" s="1"/>
  <c r="I126"/>
  <c r="I124"/>
  <c r="J126"/>
  <c r="J124"/>
  <c r="D126"/>
  <c r="D124"/>
  <c r="E84"/>
  <c r="I84"/>
  <c r="J123" l="1"/>
  <c r="L121"/>
  <c r="F126"/>
  <c r="F127" s="1"/>
  <c r="F124"/>
  <c r="F125" s="1"/>
  <c r="D125"/>
  <c r="D127"/>
  <c r="D123"/>
  <c r="H127"/>
  <c r="C126"/>
  <c r="C127" s="1"/>
  <c r="L112"/>
  <c r="K121"/>
  <c r="C123"/>
  <c r="K50"/>
  <c r="K53" s="1"/>
  <c r="C125"/>
  <c r="G123"/>
  <c r="E123"/>
  <c r="I123"/>
  <c r="J127"/>
  <c r="G124"/>
  <c r="G125" s="1"/>
  <c r="K114"/>
  <c r="K115" s="1"/>
  <c r="H124"/>
  <c r="H125" s="1"/>
  <c r="G127"/>
  <c r="E125"/>
  <c r="K30"/>
  <c r="K126" s="1"/>
  <c r="K122"/>
  <c r="E127"/>
  <c r="J125"/>
  <c r="L114"/>
  <c r="L115" s="1"/>
  <c r="H123"/>
  <c r="I125"/>
  <c r="I127"/>
  <c r="L50"/>
  <c r="L53" s="1"/>
  <c r="L122"/>
  <c r="L30"/>
  <c r="L123" l="1"/>
  <c r="K127"/>
  <c r="K123"/>
  <c r="K124"/>
  <c r="K125" s="1"/>
  <c r="L126"/>
  <c r="L127" s="1"/>
  <c r="L124"/>
  <c r="L125" s="1"/>
</calcChain>
</file>

<file path=xl/sharedStrings.xml><?xml version="1.0" encoding="utf-8"?>
<sst xmlns="http://schemas.openxmlformats.org/spreadsheetml/2006/main" count="301" uniqueCount="195">
  <si>
    <t>State:</t>
  </si>
  <si>
    <t>Discom:</t>
  </si>
  <si>
    <t>2018-19</t>
  </si>
  <si>
    <t>Current Year (CY)</t>
  </si>
  <si>
    <t>2021-22</t>
  </si>
  <si>
    <t>2019-20</t>
  </si>
  <si>
    <t>Previous Year (PY)</t>
  </si>
  <si>
    <t>2020-21</t>
  </si>
  <si>
    <t>2022-23</t>
  </si>
  <si>
    <t>2023-24</t>
  </si>
  <si>
    <t>Profit &amp; Loss</t>
  </si>
  <si>
    <t>2024-25</t>
  </si>
  <si>
    <t>Table 1: Revenue Details</t>
  </si>
  <si>
    <t>Quarter 1</t>
  </si>
  <si>
    <t>Quarter 2</t>
  </si>
  <si>
    <t>Quarter 3</t>
  </si>
  <si>
    <t>Quarter 4</t>
  </si>
  <si>
    <t>Cumulative (6M/9M/12M)</t>
  </si>
  <si>
    <t>2025-26</t>
  </si>
  <si>
    <t xml:space="preserve"> Revenue from Operations (A = A1+A2+A3+A4+A5+A6)</t>
  </si>
  <si>
    <t xml:space="preserve">A1: Revenue from Sale of Power </t>
  </si>
  <si>
    <t xml:space="preserve">  A2: Fixed Charges/Recovery from theft etc.</t>
  </si>
  <si>
    <t>A3: Revenue from Distribution Franchisee</t>
  </si>
  <si>
    <t xml:space="preserve"> A4: Revenue from Inter-state sale and Trading</t>
  </si>
  <si>
    <t xml:space="preserve"> A5: Revenue from Open Access and Wheeling</t>
  </si>
  <si>
    <t>A6: Any other Operating Revenue</t>
  </si>
  <si>
    <t xml:space="preserve"> Revenue - Subsidies and Grants (B = B1+B2+B3)</t>
  </si>
  <si>
    <t xml:space="preserve"> B1: Tariff Subsidy Booked </t>
  </si>
  <si>
    <t xml:space="preserve"> B2: Revenue Grant under UDAY</t>
  </si>
  <si>
    <t xml:space="preserve"> B3: Other Subsidies and Grants</t>
  </si>
  <si>
    <t xml:space="preserve">  Other Income (C = C1+C2+C3)</t>
  </si>
  <si>
    <t xml:space="preserve">C1: Income booked against deferred revenue* </t>
  </si>
  <si>
    <t>C2: Misc Non-tariff income from consumers (including DPS)</t>
  </si>
  <si>
    <t>C3: Other Non-operating income</t>
  </si>
  <si>
    <t xml:space="preserve"> Total Revenue on subsidy booked basis ( D = A + B + C)</t>
  </si>
  <si>
    <t xml:space="preserve"> Tariff Subsidy Received ( E )</t>
  </si>
  <si>
    <t xml:space="preserve">  Total Revenue on subsidy received basis ( F = D - B1 + E)</t>
  </si>
  <si>
    <t>Whether State Government has made advance payment of subsidy for the quarter(Yes/No)</t>
  </si>
  <si>
    <t xml:space="preserve"> </t>
  </si>
  <si>
    <t>*Revenue deferred by SERC as per tariff order for the relevant FY</t>
  </si>
  <si>
    <t>Table 2: Expenditure Details</t>
  </si>
  <si>
    <t xml:space="preserve"> Cost of Power ( G = G1 + G2+ G3)</t>
  </si>
  <si>
    <t>G1: Generation Cost (Only for GEDCOS)</t>
  </si>
  <si>
    <t>G2: Purchase of Power</t>
  </si>
  <si>
    <t xml:space="preserve"> G3: Transmission Charges</t>
  </si>
  <si>
    <t xml:space="preserve">  O&amp;M Expenses ( H = H1 + H2 + H3 + H4 + H5 + H6 + H7)</t>
  </si>
  <si>
    <t>H1: Repairs &amp; Maintenance</t>
  </si>
  <si>
    <t xml:space="preserve"> H2: Employee Cost</t>
  </si>
  <si>
    <t>H3: Admn &amp; General Expenses</t>
  </si>
  <si>
    <t>H4: Depreciation</t>
  </si>
  <si>
    <t>H5:  Total Interest Cost</t>
  </si>
  <si>
    <t>H6: Other expenses</t>
  </si>
  <si>
    <t xml:space="preserve"> H7: Exceptional Items</t>
  </si>
  <si>
    <t xml:space="preserve">  Total Expenses ( I = G + H )</t>
  </si>
  <si>
    <t xml:space="preserve"> BLANK </t>
  </si>
  <si>
    <t xml:space="preserve">  Profit before tax ( J = D - I )</t>
  </si>
  <si>
    <t>K1: Income Tax</t>
  </si>
  <si>
    <t>K2: Deferred Tax</t>
  </si>
  <si>
    <t xml:space="preserve">  Profit after tax ( L = J - K1 - K2)</t>
  </si>
  <si>
    <t>Balance Sheet</t>
  </si>
  <si>
    <t xml:space="preserve">Table 3:  Total Assets </t>
  </si>
  <si>
    <t>As on 30th June</t>
  </si>
  <si>
    <t>As on 30th Sep</t>
  </si>
  <si>
    <t>As on 31st Dec</t>
  </si>
  <si>
    <t>As on 31st Mar</t>
  </si>
  <si>
    <t>M1: Net Tangible Assets &amp; CWIP</t>
  </si>
  <si>
    <t>M2: Other Non-Current Assets</t>
  </si>
  <si>
    <t>M3:  Net Trade Receivables</t>
  </si>
  <si>
    <t xml:space="preserve">  M3a: Gross Trade Receivable Govt. Dept.</t>
  </si>
  <si>
    <t>M3b: Gross Trade Receivable Other-than Govt. Dept.</t>
  </si>
  <si>
    <t>M3c:Provision for bad debts</t>
  </si>
  <si>
    <t>M4: Subsidy Receivable</t>
  </si>
  <si>
    <t>M5:  Other Current Assets</t>
  </si>
  <si>
    <t xml:space="preserve"> Total Assets ( M = M1 + M2 + M3 + M4 + M5)</t>
  </si>
  <si>
    <t>Table 4: Total Equity and Liabilities</t>
  </si>
  <si>
    <t>N1: Share Capital &amp; General Reserves</t>
  </si>
  <si>
    <t>N2: Accumulated Surplus/ (Deficit) as per Balance Sheet</t>
  </si>
  <si>
    <t>N3: Government Grants for Capital Assets</t>
  </si>
  <si>
    <t>N4: Non-current liabilities</t>
  </si>
  <si>
    <t>N5: Capex Borrowings</t>
  </si>
  <si>
    <t xml:space="preserve">  N6a: Long Term Loans - State Govt</t>
  </si>
  <si>
    <t>N6b: Long Term Loans - Banks &amp; FIs</t>
  </si>
  <si>
    <t xml:space="preserve">  N6c: Short Term/ Medium Term - State Govt</t>
  </si>
  <si>
    <t>N6d: Short Term/ Medium Term - Banks &amp; FIs</t>
  </si>
  <si>
    <t>N6: Non-Capex Borrowings</t>
  </si>
  <si>
    <t>N7a: Short Term Borrowings/ from Banks/ FIs</t>
  </si>
  <si>
    <t>N7b: Cash Credit/ OD from Banks/ Fis</t>
  </si>
  <si>
    <t>N8: Payables for Purchase of Power</t>
  </si>
  <si>
    <t>N9: Other Current Liabilities</t>
  </si>
  <si>
    <t xml:space="preserve">  Total Equity and Liabilities ( N = N1 + N2 + N3 + N4 + N5 + N6 + N7 + N8 + N9)</t>
  </si>
  <si>
    <t>Balance Sheet Check</t>
  </si>
  <si>
    <t>Table 5: Technical Details</t>
  </si>
  <si>
    <t>O1:  Total Installed Capacity (MW) (Quarter Ended) (Only for GEDCOs)</t>
  </si>
  <si>
    <t>O1a: Hydel</t>
  </si>
  <si>
    <t>O1b: Thermal</t>
  </si>
  <si>
    <t>O1c: Gas</t>
  </si>
  <si>
    <t>O1d: Others</t>
  </si>
  <si>
    <t>O2:  Total Generation (MU) (Quarter Ended) (Only for GEDCOs)</t>
  </si>
  <si>
    <t>O2a: Hydel</t>
  </si>
  <si>
    <t>O2b: Thermal</t>
  </si>
  <si>
    <t>O2c: Gas</t>
  </si>
  <si>
    <t>O2d: Others</t>
  </si>
  <si>
    <t>O3: Total Auxiliary Consumption (MU) (Quarter Ended)</t>
  </si>
  <si>
    <t>O4 : Gross Power Purchase (MU) (Quarter Ended)</t>
  </si>
  <si>
    <t xml:space="preserve"> Gross Input Energy (MU) (O5 = O2 - O3 + O4)</t>
  </si>
  <si>
    <t>O6: Transmission Losses (MU)(Interstate &amp; Intrastate)</t>
  </si>
  <si>
    <t>O7: Gross Energy sold (MU)</t>
  </si>
  <si>
    <t>O7a: Energy Sold to own consumers</t>
  </si>
  <si>
    <t>O7b: Bulk Sale to Distribution Franchisee</t>
  </si>
  <si>
    <t>O7c: Interstate Sale/ Energy Traded/Net UI Export</t>
  </si>
  <si>
    <t xml:space="preserve"> Net Input Energy (MU) (O8 = O5 - O6 - O7c)</t>
  </si>
  <si>
    <t xml:space="preserve"> Net Energy Sold (MU) ( O9 = O7 - O7c)</t>
  </si>
  <si>
    <t xml:space="preserve"> Revenue Billed including subsidy booked (O10 = A1 + A2 + A3 + B1)</t>
  </si>
  <si>
    <t>O11: Opening Gross Trade Receivables (including any adjustments) (Rs crore)</t>
  </si>
  <si>
    <t>O12:  Adjusted Gross Closing Trade Receivables (Rs crore)</t>
  </si>
  <si>
    <t xml:space="preserve"> Revenue Collected including subsidy received (O13 = A1 + A2 + A3 + E + O11 - O12)</t>
  </si>
  <si>
    <t xml:space="preserve"> Billing Efficiency (%) (O14 = O9/O8*100)</t>
  </si>
  <si>
    <t xml:space="preserve"> Collection Efficiency (%)  (O15 = O13/O10*100)</t>
  </si>
  <si>
    <t>Energy Realised (MU) (O15a = O15*O9)</t>
  </si>
  <si>
    <t xml:space="preserve"> AT&amp;C Loss (%) (O16 = 100 - O14*O15/100)</t>
  </si>
  <si>
    <t>Table 6: Key Parameters</t>
  </si>
  <si>
    <t xml:space="preserve"> ACS (Rs./kWh) ( P1 = I*10/O5)</t>
  </si>
  <si>
    <t xml:space="preserve"> ARR on Subsidy Booked Basis (Rs./kWh) ( P2 = D*10/O5)</t>
  </si>
  <si>
    <t xml:space="preserve"> Gap on Subsidy Booked Basis (Rs./kWh) ( P3 = P1 - P2)</t>
  </si>
  <si>
    <t xml:space="preserve"> ARR on Subsidy Received Basis (Rs./kWh) (P4 = F*10/O5)</t>
  </si>
  <si>
    <t xml:space="preserve"> Gap on Subsidy Received Basis (Rs./kWh) (P5 = P1 - P4)</t>
  </si>
  <si>
    <t xml:space="preserve"> ARR on Subsidy Received excluding Regulatory Income and UDAY Grant (Rs/kWh) (Rs./kWh) (P6 = (F-B-C1)*10/O5)</t>
  </si>
  <si>
    <t xml:space="preserve"> Gap on Subsidy Received excluding Regulatory Income and UDAY Grant (Rs./kWh) (P7 = P1 - P6)</t>
  </si>
  <si>
    <t xml:space="preserve"> Receivables (Days) (P8 = 365*M5/A)</t>
  </si>
  <si>
    <t xml:space="preserve"> Payables (Days) (P9 = 365*N10/G)</t>
  </si>
  <si>
    <t xml:space="preserve"> Total Borrowings (P10 = N6 + N8 + N9)</t>
  </si>
  <si>
    <t>Table 7: Consumer Categorywise Details of Sale (MU)</t>
  </si>
  <si>
    <t>Q1: Domestic</t>
  </si>
  <si>
    <t>Q2: Commercial</t>
  </si>
  <si>
    <t>Q3: Agricultural</t>
  </si>
  <si>
    <t>Q4: Industrial</t>
  </si>
  <si>
    <t>Q5: Govt. Dept. (ULB/RLB/PWW/Public Lighting)</t>
  </si>
  <si>
    <t>Q6: Others</t>
  </si>
  <si>
    <t xml:space="preserve">  Railways</t>
  </si>
  <si>
    <t xml:space="preserve">  Bulk Supply</t>
  </si>
  <si>
    <t xml:space="preserve">  Miscellaneous</t>
  </si>
  <si>
    <t xml:space="preserve">  Distribution Franchisee</t>
  </si>
  <si>
    <t xml:space="preserve">  Interstate/ Trading/ UI</t>
  </si>
  <si>
    <t xml:space="preserve"> Gross Energy Sold (Q7 = Q1 + Q2 + Q3 + Q4 + Q5 + Q6) </t>
  </si>
  <si>
    <t>Table 8: Consumer Categorywise Details of Sale (Rs. Crore)</t>
  </si>
  <si>
    <t>Note:-</t>
  </si>
  <si>
    <t>Table 8: Consumer Categorywise Details of Revenue (Rs. Crore)</t>
  </si>
  <si>
    <t>Revenue Booked excluding subsidy</t>
  </si>
  <si>
    <t>Subsidy Booked</t>
  </si>
  <si>
    <t>Subsidy received</t>
  </si>
  <si>
    <t>R1:  Domestic</t>
  </si>
  <si>
    <t>R2: Commercial</t>
  </si>
  <si>
    <t>R3: Agricultural</t>
  </si>
  <si>
    <t xml:space="preserve">R4: Industrial </t>
  </si>
  <si>
    <t>R5: Govt. Dept. (ULB/RLB/PWW/Public Lighting)</t>
  </si>
  <si>
    <t>R6: Others</t>
  </si>
  <si>
    <t xml:space="preserve"> Gross Energy Sold (R7 = R1 + R2 + R3 + R4 + R5 + R6) </t>
  </si>
  <si>
    <t>Table 9: Power Purchase Details</t>
  </si>
  <si>
    <t>in MUs</t>
  </si>
  <si>
    <t>Power Purchase through Long term PPA</t>
  </si>
  <si>
    <t>Own Generation for GEDCOs</t>
  </si>
  <si>
    <t>Power Purchase (Short term &amp; Medium Term)</t>
  </si>
  <si>
    <t>Total Power Purchase</t>
  </si>
  <si>
    <t>Power Departments (PDs) are not required to fill the data of Balance Sheet. However, the Trade Receivables data are required to be filled in Table – 5: Technical Details at Row O11 (Opening Gross Trade Receivables ) and O12 (Gross Closing Trade Receivables)</t>
  </si>
  <si>
    <t>Debtors AT&amp;C</t>
  </si>
  <si>
    <t>Debtors (Days)</t>
  </si>
  <si>
    <t>Payables</t>
  </si>
  <si>
    <t>Total Borrowings</t>
  </si>
  <si>
    <t>Table No.</t>
  </si>
  <si>
    <t>Parameter details</t>
  </si>
  <si>
    <t>Remarks</t>
  </si>
  <si>
    <t>Table 1</t>
  </si>
  <si>
    <t>Revenue from operations, subsidy &amp; grants and other income</t>
  </si>
  <si>
    <t xml:space="preserve">Mandatory </t>
  </si>
  <si>
    <t>Table 2</t>
  </si>
  <si>
    <t>Expenditure: Cost of Power, O&amp;M and Taxes</t>
  </si>
  <si>
    <t>Mandatory</t>
  </si>
  <si>
    <t>Table 3</t>
  </si>
  <si>
    <t xml:space="preserve">Assets: Net Tangible Assets and CWIP, Other Current &amp; Non-current Assets, Net Trade Receivables and Subsidy Receivable </t>
  </si>
  <si>
    <t>Table 4</t>
  </si>
  <si>
    <t>Equity and Liabilities: Share Capital &amp; Reserve, Accumulated Surplus/Deficit, Government Grants for capital assets, other current &amp; non-current liabilities, Capex &amp; Non-Capex Borrowing and Payable for purchase of power</t>
  </si>
  <si>
    <t>Table 5</t>
  </si>
  <si>
    <t>Technical Details: Gross input energy, net input energy, energy sold and opening &amp; closing trade receivables</t>
  </si>
  <si>
    <t>Table 6</t>
  </si>
  <si>
    <t>Key Operational and Financial Parameters (Computed) – No specific inputs</t>
  </si>
  <si>
    <t>Computed from information in Table 1,2,3,4 &amp; 5</t>
  </si>
  <si>
    <t>Table 7</t>
  </si>
  <si>
    <t>Consumer category-wise sale of energy in terms of MU</t>
  </si>
  <si>
    <t>Table 8</t>
  </si>
  <si>
    <t>Consumer category-wise sale of energy in terms of Rupees</t>
  </si>
  <si>
    <t>Format For PD For FY 2023-24 on wards</t>
  </si>
  <si>
    <t>Format For PD For FY2023-24 on wards</t>
  </si>
  <si>
    <t>Annexure-II</t>
  </si>
  <si>
    <t>Rs. In lakhs</t>
  </si>
  <si>
    <t>Rs. In Crores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</si>
</sst>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64" formatCode="_(* #,##0.00_);_(* \(#,##0.00\);_(* &quot;-&quot;??_);_(@_)"/>
    <numFmt numFmtId="165" formatCode="#,##0;\(#,##0\);\-"/>
    <numFmt numFmtId="166" formatCode="_ * #,##0_ ;_ * \-#,##0_ ;_ * &quot;-&quot;??_ ;_ @_ "/>
    <numFmt numFmtId="167" formatCode="_(* #,##0.0000_);_(* \(#,##0.0000\);_(* &quot;-&quot;??_);_(@_)"/>
    <numFmt numFmtId="168" formatCode="#,##0.00;\(#,##0.00\);\-"/>
    <numFmt numFmtId="169" formatCode="0.000"/>
    <numFmt numFmtId="170" formatCode="_ * #,##0.000_ ;_ * \-#,##0.000_ ;_ * &quot;-&quot;??_ ;_ @_ "/>
    <numFmt numFmtId="171" formatCode="_(* #,##0_);_(* \(#,##0\);_(* &quot;-&quot;??_);_(@_)"/>
    <numFmt numFmtId="172" formatCode="###0"/>
    <numFmt numFmtId="173" formatCode="0.0"/>
    <numFmt numFmtId="174" formatCode="_ * #,##0.0000_ ;_ * \-#,##0.000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2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172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</cellStyleXfs>
  <cellXfs count="191">
    <xf numFmtId="0" fontId="0" fillId="0" borderId="0" xfId="0"/>
    <xf numFmtId="0" fontId="3" fillId="2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65" fontId="0" fillId="6" borderId="5" xfId="0" applyNumberFormat="1" applyFill="1" applyBorder="1" applyAlignment="1">
      <alignment horizontal="right" vertical="center"/>
    </xf>
    <xf numFmtId="165" fontId="0" fillId="0" borderId="0" xfId="0" applyNumberForma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37" fontId="7" fillId="0" borderId="1" xfId="0" applyNumberFormat="1" applyFont="1" applyBorder="1" applyAlignment="1" applyProtection="1">
      <alignment horizontal="right" vertical="center"/>
      <protection locked="0"/>
    </xf>
    <xf numFmtId="37" fontId="7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37" fontId="0" fillId="0" borderId="0" xfId="0" applyNumberFormat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165" fontId="7" fillId="0" borderId="0" xfId="0" applyNumberFormat="1" applyFont="1" applyAlignment="1">
      <alignment horizontal="right" vertical="center"/>
    </xf>
    <xf numFmtId="165" fontId="0" fillId="6" borderId="5" xfId="0" applyNumberForma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 wrapText="1"/>
    </xf>
    <xf numFmtId="165" fontId="3" fillId="6" borderId="5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37" fontId="0" fillId="0" borderId="1" xfId="0" applyNumberFormat="1" applyBorder="1" applyAlignment="1" applyProtection="1">
      <alignment horizontal="right" vertical="center" wrapText="1"/>
      <protection locked="0"/>
    </xf>
    <xf numFmtId="37" fontId="0" fillId="0" borderId="0" xfId="0" applyNumberFormat="1" applyAlignment="1">
      <alignment horizontal="right" vertical="center" wrapText="1"/>
    </xf>
    <xf numFmtId="37" fontId="3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37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0" fillId="0" borderId="5" xfId="0" applyNumberFormat="1" applyBorder="1" applyAlignment="1">
      <alignment horizontal="right" vertical="center"/>
    </xf>
    <xf numFmtId="37" fontId="0" fillId="0" borderId="1" xfId="0" applyNumberFormat="1" applyBorder="1" applyAlignment="1" applyProtection="1">
      <alignment vertical="center"/>
      <protection locked="0"/>
    </xf>
    <xf numFmtId="166" fontId="3" fillId="6" borderId="1" xfId="1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0" fillId="7" borderId="0" xfId="0" applyFill="1" applyAlignment="1">
      <alignment vertical="center"/>
    </xf>
    <xf numFmtId="166" fontId="1" fillId="6" borderId="1" xfId="1" applyNumberFormat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right" vertical="center"/>
      <protection locked="0"/>
    </xf>
    <xf numFmtId="166" fontId="0" fillId="0" borderId="1" xfId="1" applyNumberFormat="1" applyFont="1" applyBorder="1" applyAlignment="1" applyProtection="1">
      <alignment vertical="center"/>
      <protection locked="0"/>
    </xf>
    <xf numFmtId="37" fontId="3" fillId="0" borderId="1" xfId="0" applyNumberFormat="1" applyFont="1" applyBorder="1" applyAlignment="1">
      <alignment vertical="center"/>
    </xf>
    <xf numFmtId="10" fontId="0" fillId="0" borderId="0" xfId="2" applyNumberFormat="1" applyFont="1" applyAlignment="1">
      <alignment vertical="center"/>
    </xf>
    <xf numFmtId="43" fontId="3" fillId="6" borderId="1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2" fontId="3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6" fontId="0" fillId="6" borderId="1" xfId="1" applyNumberFormat="1" applyFont="1" applyFill="1" applyBorder="1" applyAlignment="1" applyProtection="1">
      <alignment vertical="center"/>
    </xf>
    <xf numFmtId="39" fontId="3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1" fontId="3" fillId="0" borderId="6" xfId="0" applyNumberFormat="1" applyFont="1" applyBorder="1" applyAlignment="1">
      <alignment vertical="center"/>
    </xf>
    <xf numFmtId="37" fontId="3" fillId="0" borderId="6" xfId="0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2" fillId="5" borderId="1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166" fontId="0" fillId="7" borderId="0" xfId="0" applyNumberFormat="1" applyFill="1" applyAlignment="1">
      <alignment vertical="center"/>
    </xf>
    <xf numFmtId="37" fontId="0" fillId="9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37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right"/>
    </xf>
    <xf numFmtId="168" fontId="0" fillId="6" borderId="5" xfId="0" applyNumberFormat="1" applyFill="1" applyBorder="1" applyAlignment="1">
      <alignment horizontal="right" vertical="center"/>
    </xf>
    <xf numFmtId="168" fontId="7" fillId="0" borderId="1" xfId="0" applyNumberFormat="1" applyFont="1" applyBorder="1" applyAlignment="1" applyProtection="1">
      <alignment horizontal="right" vertical="center"/>
      <protection locked="0"/>
    </xf>
    <xf numFmtId="168" fontId="3" fillId="6" borderId="5" xfId="0" applyNumberFormat="1" applyFont="1" applyFill="1" applyBorder="1" applyAlignment="1">
      <alignment horizontal="right" vertical="center"/>
    </xf>
    <xf numFmtId="168" fontId="4" fillId="0" borderId="1" xfId="0" applyNumberFormat="1" applyFont="1" applyBorder="1" applyAlignment="1">
      <alignment vertical="center"/>
    </xf>
    <xf numFmtId="39" fontId="0" fillId="0" borderId="1" xfId="0" applyNumberFormat="1" applyBorder="1" applyAlignment="1" applyProtection="1">
      <alignment vertical="center"/>
      <protection locked="0"/>
    </xf>
    <xf numFmtId="39" fontId="0" fillId="6" borderId="5" xfId="0" applyNumberFormat="1" applyFill="1" applyBorder="1" applyAlignment="1">
      <alignment horizontal="right" vertical="center"/>
    </xf>
    <xf numFmtId="39" fontId="3" fillId="6" borderId="1" xfId="1" applyNumberFormat="1" applyFont="1" applyFill="1" applyBorder="1" applyAlignment="1" applyProtection="1">
      <alignment vertical="center"/>
    </xf>
    <xf numFmtId="39" fontId="2" fillId="5" borderId="1" xfId="0" applyNumberFormat="1" applyFont="1" applyFill="1" applyBorder="1" applyAlignment="1">
      <alignment horizontal="right" vertical="center"/>
    </xf>
    <xf numFmtId="39" fontId="7" fillId="0" borderId="1" xfId="0" applyNumberFormat="1" applyFont="1" applyBorder="1" applyAlignment="1" applyProtection="1">
      <alignment horizontal="right" vertical="center"/>
      <protection locked="0"/>
    </xf>
    <xf numFmtId="43" fontId="0" fillId="0" borderId="1" xfId="1" applyNumberFormat="1" applyFont="1" applyBorder="1" applyAlignment="1" applyProtection="1">
      <alignment vertical="center"/>
      <protection locked="0"/>
    </xf>
    <xf numFmtId="43" fontId="0" fillId="6" borderId="1" xfId="1" applyNumberFormat="1" applyFont="1" applyFill="1" applyBorder="1" applyAlignment="1" applyProtection="1">
      <alignment vertical="center"/>
    </xf>
    <xf numFmtId="168" fontId="0" fillId="0" borderId="1" xfId="0" applyNumberFormat="1" applyBorder="1" applyAlignment="1" applyProtection="1">
      <alignment horizontal="right" vertical="center" wrapText="1"/>
      <protection locked="0"/>
    </xf>
    <xf numFmtId="168" fontId="3" fillId="0" borderId="1" xfId="0" applyNumberFormat="1" applyFont="1" applyBorder="1" applyAlignment="1" applyProtection="1">
      <alignment horizontal="right" vertical="center"/>
      <protection locked="0"/>
    </xf>
    <xf numFmtId="2" fontId="0" fillId="0" borderId="0" xfId="0" applyNumberFormat="1"/>
    <xf numFmtId="2" fontId="7" fillId="0" borderId="1" xfId="1" applyNumberFormat="1" applyFont="1" applyBorder="1" applyAlignment="1" applyProtection="1">
      <alignment horizontal="right"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168" fontId="3" fillId="6" borderId="1" xfId="1" applyNumberFormat="1" applyFont="1" applyFill="1" applyBorder="1" applyAlignment="1" applyProtection="1">
      <alignment vertical="center"/>
    </xf>
    <xf numFmtId="43" fontId="7" fillId="0" borderId="1" xfId="1" applyNumberFormat="1" applyFont="1" applyBorder="1" applyAlignment="1" applyProtection="1">
      <alignment horizontal="right" vertical="center"/>
      <protection locked="0"/>
    </xf>
    <xf numFmtId="43" fontId="4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169" fontId="0" fillId="0" borderId="1" xfId="0" applyNumberFormat="1" applyBorder="1"/>
    <xf numFmtId="169" fontId="0" fillId="0" borderId="1" xfId="1" applyNumberFormat="1" applyFont="1" applyBorder="1" applyAlignment="1" applyProtection="1">
      <alignment vertical="center"/>
      <protection locked="0"/>
    </xf>
    <xf numFmtId="43" fontId="1" fillId="6" borderId="1" xfId="1" applyNumberFormat="1" applyFont="1" applyFill="1" applyBorder="1" applyAlignment="1" applyProtection="1">
      <alignment vertical="center"/>
    </xf>
    <xf numFmtId="170" fontId="1" fillId="6" borderId="1" xfId="1" applyNumberFormat="1" applyFont="1" applyFill="1" applyBorder="1" applyAlignment="1" applyProtection="1">
      <alignment vertical="center"/>
    </xf>
    <xf numFmtId="171" fontId="1" fillId="6" borderId="1" xfId="1" applyNumberFormat="1" applyFont="1" applyFill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166" fontId="0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6" fontId="3" fillId="0" borderId="1" xfId="1" applyNumberFormat="1" applyFont="1" applyFill="1" applyBorder="1" applyAlignment="1" applyProtection="1">
      <alignment vertical="center"/>
    </xf>
    <xf numFmtId="10" fontId="0" fillId="0" borderId="0" xfId="2" applyNumberFormat="1" applyFont="1" applyFill="1" applyAlignment="1">
      <alignment vertical="center"/>
    </xf>
    <xf numFmtId="164" fontId="3" fillId="6" borderId="1" xfId="1" applyFont="1" applyFill="1" applyBorder="1" applyAlignment="1" applyProtection="1">
      <alignment vertical="center"/>
    </xf>
    <xf numFmtId="43" fontId="0" fillId="0" borderId="0" xfId="0" applyNumberFormat="1" applyAlignment="1">
      <alignment vertical="center"/>
    </xf>
    <xf numFmtId="166" fontId="12" fillId="0" borderId="1" xfId="1" applyNumberFormat="1" applyFont="1" applyFill="1" applyBorder="1" applyAlignment="1" applyProtection="1">
      <alignment vertical="center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/>
    </xf>
    <xf numFmtId="43" fontId="0" fillId="10" borderId="1" xfId="1" applyNumberFormat="1" applyFont="1" applyFill="1" applyBorder="1" applyAlignment="1" applyProtection="1">
      <alignment vertical="center"/>
      <protection locked="0"/>
    </xf>
    <xf numFmtId="166" fontId="0" fillId="10" borderId="1" xfId="1" applyNumberFormat="1" applyFont="1" applyFill="1" applyBorder="1" applyAlignment="1" applyProtection="1">
      <alignment vertical="center"/>
      <protection locked="0"/>
    </xf>
    <xf numFmtId="166" fontId="0" fillId="10" borderId="1" xfId="1" applyNumberFormat="1" applyFont="1" applyFill="1" applyBorder="1" applyAlignment="1" applyProtection="1">
      <alignment vertical="center"/>
    </xf>
    <xf numFmtId="0" fontId="7" fillId="10" borderId="1" xfId="0" applyFont="1" applyFill="1" applyBorder="1" applyAlignment="1">
      <alignment horizontal="right" vertical="center"/>
    </xf>
    <xf numFmtId="0" fontId="3" fillId="10" borderId="1" xfId="0" applyFont="1" applyFill="1" applyBorder="1" applyAlignment="1">
      <alignment vertical="center"/>
    </xf>
    <xf numFmtId="166" fontId="3" fillId="10" borderId="1" xfId="1" applyNumberFormat="1" applyFont="1" applyFill="1" applyBorder="1" applyAlignment="1" applyProtection="1">
      <alignment vertical="center"/>
    </xf>
    <xf numFmtId="0" fontId="3" fillId="1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7" fontId="16" fillId="0" borderId="1" xfId="0" applyNumberFormat="1" applyFont="1" applyBorder="1" applyAlignment="1" applyProtection="1">
      <alignment horizontal="right" vertical="center"/>
      <protection locked="0"/>
    </xf>
    <xf numFmtId="39" fontId="16" fillId="0" borderId="1" xfId="0" applyNumberFormat="1" applyFont="1" applyBorder="1" applyAlignment="1" applyProtection="1">
      <alignment horizontal="right" vertical="center"/>
      <protection locked="0"/>
    </xf>
    <xf numFmtId="165" fontId="16" fillId="0" borderId="1" xfId="0" applyNumberFormat="1" applyFont="1" applyBorder="1" applyAlignment="1" applyProtection="1">
      <alignment horizontal="right" vertical="center"/>
      <protection locked="0"/>
    </xf>
    <xf numFmtId="37" fontId="6" fillId="0" borderId="1" xfId="0" applyNumberFormat="1" applyFont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/>
      <protection locked="0"/>
    </xf>
    <xf numFmtId="0" fontId="6" fillId="0" borderId="0" xfId="0" applyFont="1"/>
    <xf numFmtId="43" fontId="6" fillId="0" borderId="0" xfId="0" applyNumberFormat="1" applyFont="1" applyAlignment="1">
      <alignment vertical="center"/>
    </xf>
    <xf numFmtId="166" fontId="6" fillId="0" borderId="1" xfId="1" applyNumberFormat="1" applyFont="1" applyFill="1" applyBorder="1" applyAlignment="1" applyProtection="1">
      <alignment vertical="center"/>
      <protection locked="0"/>
    </xf>
    <xf numFmtId="43" fontId="12" fillId="0" borderId="1" xfId="1" applyNumberFormat="1" applyFont="1" applyFill="1" applyBorder="1" applyAlignment="1" applyProtection="1">
      <alignment vertical="center"/>
    </xf>
    <xf numFmtId="166" fontId="12" fillId="0" borderId="0" xfId="1" applyNumberFormat="1" applyFont="1" applyFill="1" applyBorder="1" applyAlignment="1" applyProtection="1">
      <alignment vertical="center"/>
    </xf>
    <xf numFmtId="0" fontId="12" fillId="10" borderId="1" xfId="0" applyFont="1" applyFill="1" applyBorder="1" applyAlignment="1">
      <alignment horizontal="right" vertical="center" wrapText="1"/>
    </xf>
    <xf numFmtId="166" fontId="6" fillId="10" borderId="1" xfId="1" applyNumberFormat="1" applyFont="1" applyFill="1" applyBorder="1" applyAlignment="1" applyProtection="1">
      <alignment vertical="center"/>
      <protection locked="0"/>
    </xf>
    <xf numFmtId="166" fontId="6" fillId="10" borderId="1" xfId="1" applyNumberFormat="1" applyFont="1" applyFill="1" applyBorder="1" applyAlignment="1" applyProtection="1">
      <alignment vertical="center"/>
    </xf>
    <xf numFmtId="166" fontId="12" fillId="10" borderId="1" xfId="1" applyNumberFormat="1" applyFont="1" applyFill="1" applyBorder="1" applyAlignment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37" fontId="6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164" fontId="0" fillId="0" borderId="1" xfId="1" applyFont="1" applyBorder="1" applyAlignment="1" applyProtection="1">
      <alignment vertical="center"/>
      <protection locked="0"/>
    </xf>
    <xf numFmtId="164" fontId="1" fillId="0" borderId="1" xfId="1" applyFont="1" applyFill="1" applyBorder="1" applyAlignment="1" applyProtection="1">
      <alignment vertical="center"/>
      <protection locked="0"/>
    </xf>
    <xf numFmtId="2" fontId="0" fillId="0" borderId="1" xfId="0" applyNumberFormat="1" applyBorder="1"/>
    <xf numFmtId="166" fontId="3" fillId="0" borderId="0" xfId="0" applyNumberFormat="1" applyFont="1" applyAlignment="1">
      <alignment vertical="center"/>
    </xf>
    <xf numFmtId="2" fontId="3" fillId="6" borderId="1" xfId="1" applyNumberFormat="1" applyFont="1" applyFill="1" applyBorder="1" applyAlignment="1" applyProtection="1">
      <alignment vertical="center"/>
    </xf>
    <xf numFmtId="2" fontId="17" fillId="0" borderId="15" xfId="1" applyNumberFormat="1" applyFont="1" applyFill="1" applyBorder="1" applyAlignment="1">
      <alignment horizontal="right" vertical="top" wrapText="1"/>
    </xf>
    <xf numFmtId="2" fontId="0" fillId="0" borderId="1" xfId="1" applyNumberFormat="1" applyFont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vertical="center"/>
      <protection locked="0"/>
    </xf>
    <xf numFmtId="166" fontId="1" fillId="0" borderId="1" xfId="1" applyNumberFormat="1" applyFont="1" applyFill="1" applyBorder="1" applyAlignment="1" applyProtection="1">
      <alignment vertical="center"/>
      <protection locked="0"/>
    </xf>
    <xf numFmtId="164" fontId="1" fillId="6" borderId="1" xfId="1" applyFont="1" applyFill="1" applyBorder="1" applyAlignment="1" applyProtection="1">
      <alignment vertical="center"/>
    </xf>
    <xf numFmtId="43" fontId="0" fillId="10" borderId="1" xfId="1" applyNumberFormat="1" applyFont="1" applyFill="1" applyBorder="1" applyAlignment="1" applyProtection="1">
      <alignment vertical="center"/>
    </xf>
    <xf numFmtId="2" fontId="6" fillId="0" borderId="0" xfId="0" applyNumberFormat="1" applyFont="1"/>
    <xf numFmtId="43" fontId="6" fillId="0" borderId="1" xfId="1" applyNumberFormat="1" applyFont="1" applyFill="1" applyBorder="1" applyAlignment="1" applyProtection="1">
      <alignment vertical="center"/>
      <protection locked="0"/>
    </xf>
    <xf numFmtId="2" fontId="0" fillId="0" borderId="0" xfId="0" applyNumberFormat="1" applyAlignment="1">
      <alignment vertical="center"/>
    </xf>
    <xf numFmtId="43" fontId="3" fillId="10" borderId="1" xfId="1" applyNumberFormat="1" applyFont="1" applyFill="1" applyBorder="1" applyAlignment="1" applyProtection="1">
      <alignment vertical="center"/>
    </xf>
    <xf numFmtId="43" fontId="3" fillId="0" borderId="1" xfId="1" applyNumberFormat="1" applyFont="1" applyFill="1" applyBorder="1" applyAlignment="1" applyProtection="1">
      <alignment vertical="center"/>
    </xf>
    <xf numFmtId="166" fontId="0" fillId="0" borderId="1" xfId="3" applyNumberFormat="1" applyFont="1" applyBorder="1" applyAlignment="1" applyProtection="1">
      <alignment vertical="center"/>
      <protection locked="0"/>
    </xf>
    <xf numFmtId="166" fontId="0" fillId="0" borderId="1" xfId="3" applyNumberFormat="1" applyFont="1" applyFill="1" applyBorder="1" applyAlignment="1" applyProtection="1">
      <alignment vertical="center"/>
      <protection locked="0"/>
    </xf>
    <xf numFmtId="43" fontId="0" fillId="0" borderId="1" xfId="1" applyNumberFormat="1" applyFont="1" applyFill="1" applyBorder="1" applyAlignment="1" applyProtection="1">
      <alignment vertical="center"/>
      <protection locked="0"/>
    </xf>
    <xf numFmtId="174" fontId="0" fillId="0" borderId="1" xfId="1" applyNumberFormat="1" applyFont="1" applyFill="1" applyBorder="1" applyAlignment="1" applyProtection="1">
      <alignment vertical="center"/>
      <protection locked="0"/>
    </xf>
    <xf numFmtId="43" fontId="0" fillId="0" borderId="1" xfId="0" applyNumberFormat="1" applyBorder="1"/>
    <xf numFmtId="173" fontId="0" fillId="0" borderId="1" xfId="0" applyNumberFormat="1" applyBorder="1"/>
    <xf numFmtId="170" fontId="0" fillId="10" borderId="1" xfId="1" applyNumberFormat="1" applyFont="1" applyFill="1" applyBorder="1" applyAlignment="1" applyProtection="1">
      <alignment vertical="center"/>
      <protection locked="0"/>
    </xf>
    <xf numFmtId="170" fontId="3" fillId="10" borderId="1" xfId="1" applyNumberFormat="1" applyFont="1" applyFill="1" applyBorder="1" applyAlignment="1" applyProtection="1">
      <alignment vertical="center"/>
    </xf>
    <xf numFmtId="1" fontId="0" fillId="0" borderId="1" xfId="0" applyNumberFormat="1" applyBorder="1"/>
    <xf numFmtId="0" fontId="9" fillId="0" borderId="12" xfId="0" applyFont="1" applyBorder="1" applyAlignment="1">
      <alignment horizontal="center"/>
    </xf>
    <xf numFmtId="43" fontId="0" fillId="0" borderId="13" xfId="1" applyNumberFormat="1" applyFont="1" applyBorder="1" applyAlignment="1" applyProtection="1">
      <alignment horizontal="center" vertical="center"/>
      <protection locked="0"/>
    </xf>
    <xf numFmtId="43" fontId="0" fillId="0" borderId="14" xfId="1" applyNumberFormat="1" applyFont="1" applyBorder="1" applyAlignment="1" applyProtection="1">
      <alignment horizontal="center" vertical="center"/>
      <protection locked="0"/>
    </xf>
    <xf numFmtId="43" fontId="0" fillId="0" borderId="5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43" fontId="6" fillId="0" borderId="13" xfId="1" applyNumberFormat="1" applyFont="1" applyFill="1" applyBorder="1" applyAlignment="1" applyProtection="1">
      <alignment horizontal="center" vertical="center"/>
      <protection locked="0"/>
    </xf>
    <xf numFmtId="43" fontId="6" fillId="0" borderId="14" xfId="1" applyNumberFormat="1" applyFont="1" applyFill="1" applyBorder="1" applyAlignment="1" applyProtection="1">
      <alignment horizontal="center" vertical="center"/>
      <protection locked="0"/>
    </xf>
    <xf numFmtId="43" fontId="6" fillId="0" borderId="5" xfId="1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8">
    <cellStyle name="Comma" xfId="1" builtinId="3"/>
    <cellStyle name="Comma 2" xfId="3"/>
    <cellStyle name="Comma 2 2" xfId="10"/>
    <cellStyle name="Comma 2 3" xfId="16"/>
    <cellStyle name="Comma 3" xfId="11"/>
    <cellStyle name="Comma 3 2" xfId="17"/>
    <cellStyle name="Comma 4" xfId="12"/>
    <cellStyle name="Comma 5" xfId="13"/>
    <cellStyle name="Normal" xfId="0" builtinId="0"/>
    <cellStyle name="Normal 10" xfId="14"/>
    <cellStyle name="Normal 2" xfId="7"/>
    <cellStyle name="Normal 2 2" xfId="5"/>
    <cellStyle name="Normal 24" xfId="15"/>
    <cellStyle name="Normal 29" xfId="6"/>
    <cellStyle name="Normal 3" xfId="8"/>
    <cellStyle name="Normal 4" xfId="9"/>
    <cellStyle name="Normal 4 2" xfId="4"/>
    <cellStyle name="Percent" xfId="2" builtinId="5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1"/>
  <sheetViews>
    <sheetView workbookViewId="0">
      <selection activeCell="I12" sqref="I12"/>
    </sheetView>
  </sheetViews>
  <sheetFormatPr defaultColWidth="8.7109375" defaultRowHeight="15"/>
  <cols>
    <col min="3" max="3" width="34.7109375" customWidth="1"/>
    <col min="4" max="4" width="22.140625" customWidth="1"/>
  </cols>
  <sheetData>
    <row r="1" spans="2:4">
      <c r="D1" s="78" t="s">
        <v>192</v>
      </c>
    </row>
    <row r="2" spans="2:4" ht="15.75" thickBot="1">
      <c r="B2" s="170" t="s">
        <v>190</v>
      </c>
      <c r="C2" s="170"/>
      <c r="D2" s="170"/>
    </row>
    <row r="3" spans="2:4" ht="30.75" thickBot="1">
      <c r="B3" s="74" t="s">
        <v>168</v>
      </c>
      <c r="C3" s="75" t="s">
        <v>169</v>
      </c>
      <c r="D3" s="75" t="s">
        <v>170</v>
      </c>
    </row>
    <row r="4" spans="2:4" ht="29.25" thickBot="1">
      <c r="B4" s="76" t="s">
        <v>171</v>
      </c>
      <c r="C4" s="77" t="s">
        <v>172</v>
      </c>
      <c r="D4" s="77" t="s">
        <v>173</v>
      </c>
    </row>
    <row r="5" spans="2:4" ht="29.25" thickBot="1">
      <c r="B5" s="76" t="s">
        <v>174</v>
      </c>
      <c r="C5" s="77" t="s">
        <v>175</v>
      </c>
      <c r="D5" s="77" t="s">
        <v>176</v>
      </c>
    </row>
    <row r="6" spans="2:4" ht="72" thickBot="1">
      <c r="B6" s="76" t="s">
        <v>177</v>
      </c>
      <c r="C6" s="77" t="s">
        <v>178</v>
      </c>
      <c r="D6" s="77" t="s">
        <v>173</v>
      </c>
    </row>
    <row r="7" spans="2:4" ht="100.5" thickBot="1">
      <c r="B7" s="76" t="s">
        <v>179</v>
      </c>
      <c r="C7" s="77" t="s">
        <v>180</v>
      </c>
      <c r="D7" s="77" t="s">
        <v>176</v>
      </c>
    </row>
    <row r="8" spans="2:4" ht="57.75" thickBot="1">
      <c r="B8" s="76" t="s">
        <v>181</v>
      </c>
      <c r="C8" s="77" t="s">
        <v>182</v>
      </c>
      <c r="D8" s="77" t="s">
        <v>173</v>
      </c>
    </row>
    <row r="9" spans="2:4" ht="43.5" thickBot="1">
      <c r="B9" s="76" t="s">
        <v>183</v>
      </c>
      <c r="C9" s="77" t="s">
        <v>184</v>
      </c>
      <c r="D9" s="77" t="s">
        <v>185</v>
      </c>
    </row>
    <row r="10" spans="2:4" ht="29.25" thickBot="1">
      <c r="B10" s="76" t="s">
        <v>186</v>
      </c>
      <c r="C10" s="77" t="s">
        <v>187</v>
      </c>
      <c r="D10" s="77" t="s">
        <v>176</v>
      </c>
    </row>
    <row r="11" spans="2:4" ht="29.25" thickBot="1">
      <c r="B11" s="76" t="s">
        <v>188</v>
      </c>
      <c r="C11" s="77" t="s">
        <v>189</v>
      </c>
      <c r="D11" s="77" t="s">
        <v>176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221"/>
  <sheetViews>
    <sheetView tabSelected="1" topLeftCell="A98" workbookViewId="0">
      <selection activeCell="H189" sqref="H189:H191"/>
    </sheetView>
  </sheetViews>
  <sheetFormatPr defaultColWidth="9.140625" defaultRowHeight="15"/>
  <cols>
    <col min="1" max="1" width="17" style="3" customWidth="1"/>
    <col min="2" max="2" width="74" style="3" customWidth="1"/>
    <col min="3" max="4" width="12.42578125" style="3" customWidth="1"/>
    <col min="5" max="5" width="12.42578125" style="10" customWidth="1"/>
    <col min="6" max="6" width="12.42578125" style="3" customWidth="1"/>
    <col min="7" max="7" width="17.140625" style="10" customWidth="1"/>
    <col min="8" max="12" width="12.42578125" style="3" customWidth="1"/>
    <col min="13" max="15" width="11.7109375" style="3" customWidth="1"/>
    <col min="16" max="16" width="15.140625" style="3" bestFit="1" customWidth="1"/>
    <col min="17" max="17" width="16.140625" style="3" bestFit="1" customWidth="1"/>
    <col min="18" max="18" width="13" style="3" customWidth="1"/>
    <col min="19" max="19" width="8.7109375" style="3" bestFit="1" customWidth="1"/>
    <col min="20" max="20" width="16.140625" style="3" bestFit="1" customWidth="1"/>
    <col min="21" max="21" width="9.42578125" style="3" bestFit="1" customWidth="1"/>
    <col min="22" max="22" width="7.7109375" style="3" bestFit="1" customWidth="1"/>
    <col min="23" max="23" width="16.140625" style="3" bestFit="1" customWidth="1"/>
    <col min="24" max="24" width="11.7109375" style="3" customWidth="1"/>
    <col min="25" max="25" width="9.140625" style="3"/>
    <col min="26" max="26" width="17.7109375" style="3" customWidth="1"/>
    <col min="27" max="28" width="11.42578125" style="3" customWidth="1"/>
    <col min="29" max="16384" width="9.140625" style="3"/>
  </cols>
  <sheetData>
    <row r="2" spans="1:26">
      <c r="D2" s="190" t="s">
        <v>191</v>
      </c>
      <c r="E2" s="190"/>
      <c r="F2" s="190"/>
      <c r="G2" s="190"/>
      <c r="H2" s="190"/>
    </row>
    <row r="3" spans="1:26">
      <c r="A3" s="1" t="s">
        <v>0</v>
      </c>
      <c r="B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" t="s">
        <v>1</v>
      </c>
      <c r="B4" s="2"/>
      <c r="O4" s="4"/>
      <c r="P4" s="4"/>
      <c r="Q4" s="4"/>
      <c r="R4" s="4"/>
      <c r="S4" s="4"/>
      <c r="T4" s="5"/>
      <c r="U4" s="5"/>
      <c r="V4" s="6" t="s">
        <v>2</v>
      </c>
      <c r="W4" s="5"/>
      <c r="X4" s="5"/>
      <c r="Y4" s="4"/>
      <c r="Z4" s="4"/>
    </row>
    <row r="5" spans="1:26">
      <c r="A5" s="1" t="s">
        <v>3</v>
      </c>
      <c r="B5" s="7" t="s">
        <v>11</v>
      </c>
      <c r="O5" s="4"/>
      <c r="P5" s="4"/>
      <c r="Q5" s="4"/>
      <c r="R5" s="4"/>
      <c r="S5" s="4"/>
      <c r="T5" s="5"/>
      <c r="U5" s="5"/>
      <c r="V5" s="6" t="s">
        <v>5</v>
      </c>
      <c r="W5" s="5"/>
      <c r="X5" s="5"/>
      <c r="Y5" s="4"/>
      <c r="Z5" s="4"/>
    </row>
    <row r="6" spans="1:26">
      <c r="A6" s="1" t="s">
        <v>6</v>
      </c>
      <c r="B6" s="8" t="str">
        <f>INDEX($V$4:$V$11,(MATCH(B5,$V$4:$V$11,0)-1))</f>
        <v>2023-24</v>
      </c>
      <c r="O6" s="4"/>
      <c r="P6" s="4"/>
      <c r="Q6" s="4"/>
      <c r="R6" s="4"/>
      <c r="S6" s="4"/>
      <c r="T6" s="5"/>
      <c r="U6" s="5"/>
      <c r="V6" s="6" t="s">
        <v>7</v>
      </c>
      <c r="W6" s="5"/>
      <c r="X6" s="5"/>
      <c r="Y6" s="4"/>
      <c r="Z6" s="4"/>
    </row>
    <row r="7" spans="1:26">
      <c r="O7" s="4"/>
      <c r="P7" s="4"/>
      <c r="Q7" s="4"/>
      <c r="R7" s="4"/>
      <c r="S7" s="4"/>
      <c r="T7" s="5"/>
      <c r="U7" s="5"/>
      <c r="V7" s="6" t="s">
        <v>4</v>
      </c>
      <c r="W7" s="5"/>
      <c r="X7" s="5"/>
      <c r="Y7" s="4"/>
      <c r="Z7" s="4"/>
    </row>
    <row r="8" spans="1:26" hidden="1">
      <c r="B8" s="9"/>
      <c r="C8" s="9"/>
      <c r="D8" s="9"/>
      <c r="E8" s="123"/>
      <c r="F8" s="9"/>
      <c r="G8" s="123"/>
      <c r="H8" s="9"/>
      <c r="I8" s="9"/>
      <c r="J8" s="9"/>
      <c r="K8" s="9"/>
      <c r="L8" s="9"/>
      <c r="M8" s="9"/>
      <c r="T8" s="10"/>
      <c r="U8" s="10"/>
      <c r="V8" s="11" t="s">
        <v>8</v>
      </c>
      <c r="W8" s="10"/>
      <c r="X8" s="10"/>
    </row>
    <row r="9" spans="1:26" ht="26.25">
      <c r="B9" s="9"/>
      <c r="C9" s="9"/>
      <c r="D9" s="9"/>
      <c r="E9" s="123"/>
      <c r="F9" s="9"/>
      <c r="G9" s="123"/>
      <c r="H9" s="188" t="s">
        <v>193</v>
      </c>
      <c r="I9" s="188"/>
      <c r="J9" s="188"/>
      <c r="K9" s="188"/>
      <c r="L9" s="188"/>
      <c r="M9" s="9"/>
      <c r="T9" s="10"/>
      <c r="U9" s="10"/>
      <c r="V9" s="11" t="s">
        <v>9</v>
      </c>
      <c r="W9" s="10"/>
      <c r="X9" s="10"/>
    </row>
    <row r="10" spans="1:26" ht="18.75">
      <c r="B10" s="12" t="s">
        <v>10</v>
      </c>
      <c r="T10" s="10"/>
      <c r="U10" s="10"/>
      <c r="V10" s="11" t="s">
        <v>11</v>
      </c>
      <c r="W10" s="10"/>
      <c r="X10" s="10"/>
    </row>
    <row r="11" spans="1:26">
      <c r="B11" s="13" t="s">
        <v>12</v>
      </c>
      <c r="C11" s="184" t="s">
        <v>13</v>
      </c>
      <c r="D11" s="189"/>
      <c r="E11" s="184" t="s">
        <v>14</v>
      </c>
      <c r="F11" s="189"/>
      <c r="G11" s="184" t="s">
        <v>15</v>
      </c>
      <c r="H11" s="189"/>
      <c r="I11" s="184" t="s">
        <v>16</v>
      </c>
      <c r="J11" s="189"/>
      <c r="K11" s="186" t="s">
        <v>17</v>
      </c>
      <c r="L11" s="187"/>
      <c r="T11" s="10"/>
      <c r="U11" s="10"/>
      <c r="V11" s="11" t="s">
        <v>18</v>
      </c>
      <c r="W11" s="10"/>
      <c r="X11" s="10"/>
    </row>
    <row r="12" spans="1:26" s="4" customFormat="1">
      <c r="B12" s="14"/>
      <c r="C12" s="15" t="str">
        <f>$B$5</f>
        <v>2024-25</v>
      </c>
      <c r="D12" s="15" t="str">
        <f>$B$6</f>
        <v>2023-24</v>
      </c>
      <c r="E12" s="15" t="str">
        <f t="shared" ref="E12" si="0">$B$5</f>
        <v>2024-25</v>
      </c>
      <c r="F12" s="15" t="str">
        <f t="shared" ref="F12" si="1">$B$6</f>
        <v>2023-24</v>
      </c>
      <c r="G12" s="124" t="str">
        <f t="shared" ref="G12" si="2">$B$5</f>
        <v>2024-25</v>
      </c>
      <c r="H12" s="15" t="str">
        <f t="shared" ref="H12" si="3">$B$6</f>
        <v>2023-24</v>
      </c>
      <c r="I12" s="15" t="str">
        <f t="shared" ref="I12" si="4">$B$5</f>
        <v>2024-25</v>
      </c>
      <c r="J12" s="15" t="str">
        <f t="shared" ref="J12" si="5">$B$6</f>
        <v>2023-24</v>
      </c>
      <c r="K12" s="15" t="str">
        <f t="shared" ref="K12" si="6">$B$5</f>
        <v>2024-25</v>
      </c>
      <c r="L12" s="15" t="str">
        <f t="shared" ref="L12" si="7">$B$6</f>
        <v>2023-24</v>
      </c>
      <c r="T12" s="5"/>
      <c r="U12" s="5"/>
      <c r="V12" s="5"/>
      <c r="W12" s="5"/>
      <c r="X12" s="5"/>
    </row>
    <row r="13" spans="1:26" ht="15" customHeight="1">
      <c r="B13" s="16" t="s">
        <v>19</v>
      </c>
      <c r="C13" s="79">
        <f>+C14+C15+C16+C17+C18+C19</f>
        <v>44404.24811</v>
      </c>
      <c r="D13" s="79">
        <f t="shared" ref="D13:L13" si="8">+D14+D15+D16+D17+D18+D19</f>
        <v>25614.171764400002</v>
      </c>
      <c r="E13" s="79">
        <f t="shared" si="8"/>
        <v>50690.939999999995</v>
      </c>
      <c r="F13" s="79">
        <f t="shared" si="8"/>
        <v>28933.3199609</v>
      </c>
      <c r="G13" s="79">
        <f t="shared" si="8"/>
        <v>34935.636006000001</v>
      </c>
      <c r="H13" s="79">
        <f t="shared" si="8"/>
        <v>33917.730000000003</v>
      </c>
      <c r="I13" s="17">
        <f t="shared" si="8"/>
        <v>0</v>
      </c>
      <c r="J13" s="79">
        <f t="shared" si="8"/>
        <v>35841.130000000005</v>
      </c>
      <c r="K13" s="17">
        <f t="shared" si="8"/>
        <v>130030.82411600002</v>
      </c>
      <c r="L13" s="17">
        <f t="shared" si="8"/>
        <v>124306.3517253</v>
      </c>
      <c r="M13" s="18"/>
      <c r="N13" s="104"/>
      <c r="T13" s="10"/>
      <c r="U13" s="10"/>
      <c r="V13" s="10"/>
      <c r="W13" s="10"/>
      <c r="X13" s="10"/>
    </row>
    <row r="14" spans="1:26" ht="15" customHeight="1">
      <c r="B14" s="19" t="s">
        <v>20</v>
      </c>
      <c r="C14" s="87">
        <v>25385.01</v>
      </c>
      <c r="D14" s="87">
        <v>20945.68</v>
      </c>
      <c r="E14" s="80">
        <v>27414.1</v>
      </c>
      <c r="F14" s="80">
        <v>23483.119674900001</v>
      </c>
      <c r="G14" s="125">
        <f>34935.64-12342.49</f>
        <v>22593.15</v>
      </c>
      <c r="H14" s="125">
        <v>25810.04</v>
      </c>
      <c r="I14" s="20"/>
      <c r="J14" s="20">
        <v>34437.890000000007</v>
      </c>
      <c r="K14" s="17">
        <f>C14+E14+G14+I14</f>
        <v>75392.260000000009</v>
      </c>
      <c r="L14" s="17">
        <f>D14+F14+H14+J14</f>
        <v>104676.72967490001</v>
      </c>
      <c r="M14" s="21"/>
      <c r="N14" s="104"/>
      <c r="T14" s="10"/>
      <c r="U14" s="10"/>
      <c r="V14" s="10"/>
      <c r="W14" s="10"/>
      <c r="X14" s="10"/>
    </row>
    <row r="15" spans="1:26" ht="15" customHeight="1">
      <c r="B15" s="19" t="s">
        <v>21</v>
      </c>
      <c r="C15" s="87"/>
      <c r="D15" s="87"/>
      <c r="E15" s="80"/>
      <c r="F15" s="80"/>
      <c r="G15" s="125"/>
      <c r="H15" s="125"/>
      <c r="I15" s="20"/>
      <c r="J15" s="20"/>
      <c r="K15" s="17">
        <f t="shared" ref="K15:L19" si="9">C15+E15+G15+I15</f>
        <v>0</v>
      </c>
      <c r="L15" s="17">
        <f t="shared" si="9"/>
        <v>0</v>
      </c>
      <c r="M15" s="21"/>
      <c r="N15" s="104"/>
      <c r="T15" s="10"/>
      <c r="U15" s="10"/>
      <c r="V15" s="10"/>
      <c r="W15" s="10"/>
      <c r="X15" s="10"/>
    </row>
    <row r="16" spans="1:26" ht="15" customHeight="1">
      <c r="B16" s="19" t="s">
        <v>22</v>
      </c>
      <c r="C16" s="87">
        <v>1033.42</v>
      </c>
      <c r="D16" s="87">
        <v>255.9598302</v>
      </c>
      <c r="E16" s="80">
        <v>814.17</v>
      </c>
      <c r="F16" s="80">
        <v>752.19</v>
      </c>
      <c r="G16" s="126">
        <v>1427.2660060000001</v>
      </c>
      <c r="H16" s="126">
        <v>929.64</v>
      </c>
      <c r="I16" s="20"/>
      <c r="J16" s="20">
        <v>-476.67</v>
      </c>
      <c r="K16" s="17">
        <f t="shared" si="9"/>
        <v>3274.856006</v>
      </c>
      <c r="L16" s="17">
        <f t="shared" si="9"/>
        <v>1461.1198301999998</v>
      </c>
      <c r="M16" s="21"/>
      <c r="N16" s="104"/>
      <c r="T16" s="10"/>
      <c r="U16" s="10"/>
      <c r="V16" s="10"/>
      <c r="W16" s="10"/>
      <c r="X16" s="10"/>
    </row>
    <row r="17" spans="2:14" ht="15" customHeight="1">
      <c r="B17" s="19" t="s">
        <v>23</v>
      </c>
      <c r="C17" s="87">
        <v>16619.65811</v>
      </c>
      <c r="D17" s="87">
        <v>815.96300610000003</v>
      </c>
      <c r="E17" s="80">
        <v>21077.279999999999</v>
      </c>
      <c r="F17" s="80">
        <v>3196.9702859999998</v>
      </c>
      <c r="G17" s="126">
        <v>9873.14</v>
      </c>
      <c r="H17" s="126">
        <v>5479.29</v>
      </c>
      <c r="I17" s="20"/>
      <c r="J17" s="20">
        <v>2734.24</v>
      </c>
      <c r="K17" s="17">
        <f t="shared" si="9"/>
        <v>47570.078110000002</v>
      </c>
      <c r="L17" s="17">
        <f t="shared" si="9"/>
        <v>12226.463292099999</v>
      </c>
      <c r="M17" s="21"/>
      <c r="N17" s="104"/>
    </row>
    <row r="18" spans="2:14" ht="15" customHeight="1">
      <c r="B18" s="19" t="s">
        <v>24</v>
      </c>
      <c r="C18" s="87"/>
      <c r="D18" s="87"/>
      <c r="E18" s="80"/>
      <c r="F18" s="80"/>
      <c r="G18" s="125"/>
      <c r="H18" s="125"/>
      <c r="I18" s="20"/>
      <c r="J18" s="20"/>
      <c r="K18" s="17">
        <f t="shared" si="9"/>
        <v>0</v>
      </c>
      <c r="L18" s="17">
        <f t="shared" si="9"/>
        <v>0</v>
      </c>
      <c r="M18" s="21"/>
      <c r="N18" s="104"/>
    </row>
    <row r="19" spans="2:14" ht="15" customHeight="1">
      <c r="B19" s="19" t="s">
        <v>25</v>
      </c>
      <c r="C19" s="87">
        <v>1366.16</v>
      </c>
      <c r="D19" s="87">
        <v>3596.5689281</v>
      </c>
      <c r="E19" s="80">
        <v>1385.39</v>
      </c>
      <c r="F19" s="80">
        <v>1501.04</v>
      </c>
      <c r="G19" s="125">
        <v>1042.08</v>
      </c>
      <c r="H19" s="125">
        <v>1698.76</v>
      </c>
      <c r="I19" s="20"/>
      <c r="J19" s="20">
        <v>-854.33</v>
      </c>
      <c r="K19" s="17">
        <f t="shared" si="9"/>
        <v>3793.63</v>
      </c>
      <c r="L19" s="17">
        <f t="shared" si="9"/>
        <v>5942.0389281000007</v>
      </c>
      <c r="M19" s="21"/>
      <c r="N19" s="104"/>
    </row>
    <row r="20" spans="2:14" ht="15" customHeight="1">
      <c r="B20" s="22" t="s">
        <v>26</v>
      </c>
      <c r="C20" s="17">
        <f t="shared" ref="C20:L20" si="10">+C21+C22+C23</f>
        <v>24000</v>
      </c>
      <c r="D20" s="79">
        <f t="shared" si="10"/>
        <v>5000</v>
      </c>
      <c r="E20" s="79">
        <f t="shared" si="10"/>
        <v>13500</v>
      </c>
      <c r="F20" s="79">
        <f t="shared" si="10"/>
        <v>10000</v>
      </c>
      <c r="G20" s="79">
        <f t="shared" si="10"/>
        <v>9300</v>
      </c>
      <c r="H20" s="79">
        <f t="shared" si="10"/>
        <v>7006</v>
      </c>
      <c r="I20" s="17">
        <f t="shared" si="10"/>
        <v>0</v>
      </c>
      <c r="J20" s="17">
        <f t="shared" si="10"/>
        <v>0</v>
      </c>
      <c r="K20" s="17">
        <f t="shared" si="10"/>
        <v>46800</v>
      </c>
      <c r="L20" s="17">
        <f t="shared" si="10"/>
        <v>22006</v>
      </c>
      <c r="M20" s="23"/>
      <c r="N20" s="104"/>
    </row>
    <row r="21" spans="2:14" ht="15" customHeight="1">
      <c r="B21" s="24" t="s">
        <v>27</v>
      </c>
      <c r="C21" s="25"/>
      <c r="D21" s="80"/>
      <c r="E21" s="80"/>
      <c r="F21" s="80"/>
      <c r="G21" s="127"/>
      <c r="H21" s="80"/>
      <c r="I21" s="25"/>
      <c r="J21" s="25"/>
      <c r="K21" s="17">
        <f>C21+E21+G21+I21</f>
        <v>0</v>
      </c>
      <c r="L21" s="17">
        <f>D21+F21+H21+J21</f>
        <v>0</v>
      </c>
      <c r="M21" s="26"/>
      <c r="N21" s="104"/>
    </row>
    <row r="22" spans="2:14" ht="15" customHeight="1">
      <c r="B22" s="24" t="s">
        <v>28</v>
      </c>
      <c r="C22" s="25">
        <v>24000</v>
      </c>
      <c r="D22" s="25">
        <v>5000</v>
      </c>
      <c r="E22" s="80">
        <v>13500</v>
      </c>
      <c r="F22" s="80">
        <v>10000</v>
      </c>
      <c r="G22" s="127">
        <v>9300</v>
      </c>
      <c r="H22" s="127">
        <v>7006</v>
      </c>
      <c r="I22" s="25">
        <v>0</v>
      </c>
      <c r="J22" s="25"/>
      <c r="K22" s="17">
        <f t="shared" ref="K22:L23" si="11">C22+E22+G22+I22</f>
        <v>46800</v>
      </c>
      <c r="L22" s="17">
        <f t="shared" si="11"/>
        <v>22006</v>
      </c>
      <c r="M22" s="26"/>
      <c r="N22" s="104"/>
    </row>
    <row r="23" spans="2:14" ht="15" customHeight="1">
      <c r="B23" s="19" t="s">
        <v>29</v>
      </c>
      <c r="C23" s="25"/>
      <c r="D23" s="80"/>
      <c r="E23" s="80"/>
      <c r="F23" s="80"/>
      <c r="G23" s="127"/>
      <c r="H23" s="80"/>
      <c r="I23" s="25"/>
      <c r="J23" s="25"/>
      <c r="K23" s="17">
        <f t="shared" si="11"/>
        <v>0</v>
      </c>
      <c r="L23" s="17">
        <f t="shared" si="11"/>
        <v>0</v>
      </c>
      <c r="M23" s="21"/>
      <c r="N23" s="104"/>
    </row>
    <row r="24" spans="2:14" ht="15" customHeight="1">
      <c r="B24" s="22" t="s">
        <v>30</v>
      </c>
      <c r="C24" s="79">
        <f>+C25+C26+C27</f>
        <v>1884.43</v>
      </c>
      <c r="D24" s="79">
        <f t="shared" ref="D24:L24" si="12">+D25+D26+D27</f>
        <v>1836.22</v>
      </c>
      <c r="E24" s="79">
        <f t="shared" si="12"/>
        <v>5257.26</v>
      </c>
      <c r="F24" s="79">
        <f t="shared" si="12"/>
        <v>2040.68</v>
      </c>
      <c r="G24" s="79">
        <f t="shared" si="12"/>
        <v>2710.43</v>
      </c>
      <c r="H24" s="79">
        <f t="shared" si="12"/>
        <v>1837.89</v>
      </c>
      <c r="I24" s="17">
        <f>+I25+I26+I27</f>
        <v>0</v>
      </c>
      <c r="J24" s="17">
        <f>+J25+J26+J27</f>
        <v>12269</v>
      </c>
      <c r="K24" s="27">
        <f t="shared" si="12"/>
        <v>9852.1200000000008</v>
      </c>
      <c r="L24" s="27">
        <f t="shared" si="12"/>
        <v>17983.79</v>
      </c>
      <c r="M24" s="23"/>
    </row>
    <row r="25" spans="2:14" ht="15" customHeight="1">
      <c r="B25" s="24" t="s">
        <v>31</v>
      </c>
      <c r="C25" s="25"/>
      <c r="D25" s="80"/>
      <c r="E25" s="80"/>
      <c r="F25" s="80"/>
      <c r="G25" s="127"/>
      <c r="H25" s="80"/>
      <c r="I25" s="25"/>
      <c r="J25" s="25"/>
      <c r="K25" s="17">
        <f t="shared" ref="K25:L26" si="13">C25+E25+G25+I25</f>
        <v>0</v>
      </c>
      <c r="L25" s="17">
        <f t="shared" si="13"/>
        <v>0</v>
      </c>
      <c r="M25" s="26"/>
    </row>
    <row r="26" spans="2:14" ht="15" customHeight="1">
      <c r="B26" s="19" t="s">
        <v>32</v>
      </c>
      <c r="C26" s="20"/>
      <c r="D26" s="80"/>
      <c r="E26" s="80"/>
      <c r="F26" s="80"/>
      <c r="G26" s="125"/>
      <c r="H26" s="80"/>
      <c r="I26" s="20"/>
      <c r="J26" s="20"/>
      <c r="K26" s="17">
        <f t="shared" si="13"/>
        <v>0</v>
      </c>
      <c r="L26" s="17">
        <f t="shared" si="13"/>
        <v>0</v>
      </c>
      <c r="M26" s="21"/>
    </row>
    <row r="27" spans="2:14" ht="15" customHeight="1">
      <c r="B27" s="19" t="s">
        <v>33</v>
      </c>
      <c r="C27" s="87">
        <v>1884.43</v>
      </c>
      <c r="D27" s="87">
        <v>1836.22</v>
      </c>
      <c r="E27" s="80">
        <v>5257.26</v>
      </c>
      <c r="F27" s="80">
        <v>2040.68</v>
      </c>
      <c r="G27" s="125">
        <v>2710.43</v>
      </c>
      <c r="H27" s="125">
        <v>1837.89</v>
      </c>
      <c r="I27" s="20"/>
      <c r="J27" s="87">
        <v>12269</v>
      </c>
      <c r="K27" s="17">
        <f>C27+E27+G27+I27</f>
        <v>9852.1200000000008</v>
      </c>
      <c r="L27" s="17">
        <f>D27+F27+H27+J27</f>
        <v>17983.79</v>
      </c>
      <c r="M27" s="21"/>
    </row>
    <row r="28" spans="2:14" ht="15" customHeight="1">
      <c r="B28" s="28" t="s">
        <v>34</v>
      </c>
      <c r="C28" s="81">
        <f>+C13+C20+C24</f>
        <v>70288.678109999993</v>
      </c>
      <c r="D28" s="81">
        <f>+D13+D20+D24</f>
        <v>32450.391764400003</v>
      </c>
      <c r="E28" s="81">
        <f t="shared" ref="E28:L28" si="14">+E13+E20+E24</f>
        <v>69448.2</v>
      </c>
      <c r="F28" s="81">
        <f t="shared" si="14"/>
        <v>40973.999960900001</v>
      </c>
      <c r="G28" s="81">
        <f t="shared" si="14"/>
        <v>46946.066006000001</v>
      </c>
      <c r="H28" s="81">
        <f t="shared" si="14"/>
        <v>42761.62</v>
      </c>
      <c r="I28" s="29">
        <f t="shared" si="14"/>
        <v>0</v>
      </c>
      <c r="J28" s="29">
        <f t="shared" si="14"/>
        <v>48110.130000000005</v>
      </c>
      <c r="K28" s="29">
        <f t="shared" si="14"/>
        <v>186682.94411600003</v>
      </c>
      <c r="L28" s="29">
        <f t="shared" si="14"/>
        <v>164296.14172530003</v>
      </c>
      <c r="M28" s="30"/>
    </row>
    <row r="29" spans="2:14" ht="15" customHeight="1">
      <c r="B29" s="31" t="s">
        <v>35</v>
      </c>
      <c r="C29" s="32"/>
      <c r="D29" s="32"/>
      <c r="E29" s="90"/>
      <c r="F29" s="90"/>
      <c r="G29" s="128"/>
      <c r="H29" s="90"/>
      <c r="I29" s="32"/>
      <c r="J29" s="32"/>
      <c r="K29" s="17">
        <f t="shared" ref="K29:L29" si="15">C29+E29+G29+I29</f>
        <v>0</v>
      </c>
      <c r="L29" s="17">
        <f t="shared" si="15"/>
        <v>0</v>
      </c>
      <c r="M29" s="33"/>
    </row>
    <row r="30" spans="2:14" ht="15" customHeight="1">
      <c r="B30" s="28" t="s">
        <v>36</v>
      </c>
      <c r="C30" s="29">
        <f t="shared" ref="C30:L30" si="16">+C28-C21+C29</f>
        <v>70288.678109999993</v>
      </c>
      <c r="D30" s="81">
        <f t="shared" si="16"/>
        <v>32450.391764400003</v>
      </c>
      <c r="E30" s="81">
        <f t="shared" si="16"/>
        <v>69448.2</v>
      </c>
      <c r="F30" s="81">
        <f t="shared" si="16"/>
        <v>40973.999960900001</v>
      </c>
      <c r="G30" s="81">
        <f t="shared" si="16"/>
        <v>46946.066006000001</v>
      </c>
      <c r="H30" s="81">
        <f t="shared" si="16"/>
        <v>42761.62</v>
      </c>
      <c r="I30" s="29">
        <f t="shared" si="16"/>
        <v>0</v>
      </c>
      <c r="J30" s="29">
        <f t="shared" si="16"/>
        <v>48110.130000000005</v>
      </c>
      <c r="K30" s="29">
        <f t="shared" si="16"/>
        <v>186682.94411600003</v>
      </c>
      <c r="L30" s="29">
        <f t="shared" si="16"/>
        <v>164296.14172530003</v>
      </c>
      <c r="M30" s="34"/>
    </row>
    <row r="31" spans="2:14" ht="30">
      <c r="B31" s="35" t="s">
        <v>37</v>
      </c>
      <c r="C31" s="36"/>
      <c r="D31" s="36" t="s">
        <v>38</v>
      </c>
      <c r="E31" s="91"/>
      <c r="F31" s="91"/>
      <c r="G31" s="129"/>
      <c r="H31" s="91"/>
      <c r="I31" s="36"/>
      <c r="J31" s="36"/>
      <c r="K31" s="36"/>
      <c r="L31" s="36"/>
      <c r="M31" s="34"/>
    </row>
    <row r="32" spans="2:14" ht="15" customHeight="1">
      <c r="B32" t="s">
        <v>39</v>
      </c>
      <c r="C32"/>
      <c r="D32"/>
      <c r="E32" s="130"/>
      <c r="F32"/>
      <c r="G32" s="130"/>
      <c r="H32"/>
      <c r="I32"/>
      <c r="J32"/>
      <c r="K32"/>
      <c r="L32"/>
      <c r="M32" s="34"/>
    </row>
    <row r="33" spans="2:13" ht="15" customHeight="1">
      <c r="B33"/>
      <c r="C33"/>
      <c r="D33"/>
      <c r="E33" s="130"/>
      <c r="F33"/>
      <c r="G33" s="130"/>
      <c r="H33"/>
      <c r="I33"/>
      <c r="J33"/>
      <c r="K33"/>
      <c r="L33"/>
      <c r="M33" s="34"/>
    </row>
    <row r="34" spans="2:13" ht="15" customHeight="1">
      <c r="B34" s="13" t="s">
        <v>40</v>
      </c>
      <c r="C34" s="184" t="s">
        <v>13</v>
      </c>
      <c r="D34" s="189"/>
      <c r="E34" s="184" t="s">
        <v>14</v>
      </c>
      <c r="F34" s="189"/>
      <c r="G34" s="184" t="s">
        <v>15</v>
      </c>
      <c r="H34" s="189"/>
      <c r="I34" s="184" t="s">
        <v>16</v>
      </c>
      <c r="J34" s="189"/>
      <c r="K34" s="186" t="s">
        <v>17</v>
      </c>
      <c r="L34" s="187"/>
      <c r="M34" s="34"/>
    </row>
    <row r="35" spans="2:13">
      <c r="B35" s="13"/>
      <c r="C35" s="15" t="str">
        <f>$B$5</f>
        <v>2024-25</v>
      </c>
      <c r="D35" s="15" t="str">
        <f>$B$6</f>
        <v>2023-24</v>
      </c>
      <c r="E35" s="15" t="str">
        <f t="shared" ref="E35" si="17">$B$5</f>
        <v>2024-25</v>
      </c>
      <c r="F35" s="15" t="str">
        <f t="shared" ref="F35" si="18">$B$6</f>
        <v>2023-24</v>
      </c>
      <c r="G35" s="15" t="str">
        <f t="shared" ref="G35" si="19">$B$5</f>
        <v>2024-25</v>
      </c>
      <c r="H35" s="15" t="str">
        <f t="shared" ref="H35" si="20">$B$6</f>
        <v>2023-24</v>
      </c>
      <c r="I35" s="15" t="str">
        <f t="shared" ref="I35" si="21">$B$5</f>
        <v>2024-25</v>
      </c>
      <c r="J35" s="15" t="str">
        <f t="shared" ref="J35" si="22">$B$6</f>
        <v>2023-24</v>
      </c>
      <c r="K35" s="15" t="str">
        <f t="shared" ref="K35" si="23">$B$5</f>
        <v>2024-25</v>
      </c>
      <c r="L35" s="15" t="str">
        <f t="shared" ref="L35" si="24">$B$6</f>
        <v>2023-24</v>
      </c>
    </row>
    <row r="36" spans="2:13">
      <c r="B36" s="22" t="s">
        <v>41</v>
      </c>
      <c r="C36" s="79">
        <f>+C37+C38+C39</f>
        <v>41240.648575899992</v>
      </c>
      <c r="D36" s="79">
        <f t="shared" ref="D36:L36" si="25">+D37+D38+D39</f>
        <v>36082.275639499996</v>
      </c>
      <c r="E36" s="79">
        <f t="shared" si="25"/>
        <v>44352.639999999999</v>
      </c>
      <c r="F36" s="79">
        <f t="shared" si="25"/>
        <v>46004.130057899994</v>
      </c>
      <c r="G36" s="79">
        <f t="shared" si="25"/>
        <v>35884.03</v>
      </c>
      <c r="H36" s="79">
        <f t="shared" si="25"/>
        <v>35104.369999999995</v>
      </c>
      <c r="I36" s="17">
        <f t="shared" si="25"/>
        <v>0</v>
      </c>
      <c r="J36" s="17">
        <f t="shared" si="25"/>
        <v>26353.57</v>
      </c>
      <c r="K36" s="17">
        <f t="shared" si="25"/>
        <v>121477.31857589998</v>
      </c>
      <c r="L36" s="17">
        <f t="shared" si="25"/>
        <v>143544.34569739999</v>
      </c>
    </row>
    <row r="37" spans="2:13">
      <c r="B37" s="19" t="s">
        <v>42</v>
      </c>
      <c r="C37" s="80"/>
      <c r="D37" s="80"/>
      <c r="E37" s="80"/>
      <c r="F37" s="80"/>
      <c r="G37" s="80"/>
      <c r="H37" s="80"/>
      <c r="I37" s="20"/>
      <c r="J37" s="20"/>
      <c r="K37" s="17">
        <f t="shared" ref="K37:L39" si="26">C37+E37+G37+I37</f>
        <v>0</v>
      </c>
      <c r="L37" s="17">
        <f t="shared" si="26"/>
        <v>0</v>
      </c>
    </row>
    <row r="38" spans="2:13">
      <c r="B38" s="19" t="s">
        <v>43</v>
      </c>
      <c r="C38" s="80">
        <v>36203.648575899992</v>
      </c>
      <c r="D38" s="80">
        <v>30693.113459499997</v>
      </c>
      <c r="E38" s="80">
        <v>39771.599999999999</v>
      </c>
      <c r="F38" s="80">
        <v>40657.480057899993</v>
      </c>
      <c r="G38" s="80">
        <v>30357.43</v>
      </c>
      <c r="H38" s="80">
        <v>29955.94</v>
      </c>
      <c r="I38" s="20"/>
      <c r="J38" s="20">
        <v>21276.57</v>
      </c>
      <c r="K38" s="17">
        <f t="shared" si="26"/>
        <v>106332.67857589998</v>
      </c>
      <c r="L38" s="17">
        <f t="shared" si="26"/>
        <v>122583.10351739998</v>
      </c>
    </row>
    <row r="39" spans="2:13">
      <c r="B39" s="19" t="s">
        <v>44</v>
      </c>
      <c r="C39" s="80">
        <v>5037</v>
      </c>
      <c r="D39" s="80">
        <v>5389.1621800000003</v>
      </c>
      <c r="E39" s="80">
        <v>4581.04</v>
      </c>
      <c r="F39" s="80">
        <v>5346.65</v>
      </c>
      <c r="G39" s="80">
        <v>5526.6</v>
      </c>
      <c r="H39" s="80">
        <v>5148.43</v>
      </c>
      <c r="I39" s="20"/>
      <c r="J39" s="20">
        <v>5077</v>
      </c>
      <c r="K39" s="17">
        <f t="shared" si="26"/>
        <v>15144.640000000001</v>
      </c>
      <c r="L39" s="17">
        <f t="shared" si="26"/>
        <v>20961.242180000001</v>
      </c>
    </row>
    <row r="40" spans="2:13">
      <c r="B40" s="37" t="s">
        <v>45</v>
      </c>
      <c r="C40" s="79">
        <f>+C41+C42+C43+C44+C45+C46+C47</f>
        <v>10234.907538000001</v>
      </c>
      <c r="D40" s="79">
        <f>+D41+D42+D43+D44+D45+D46+D47</f>
        <v>9927.388092799998</v>
      </c>
      <c r="E40" s="79">
        <f>+E41+E42+E43+E44+E45+E46+E47</f>
        <v>10297.4928378</v>
      </c>
      <c r="F40" s="79">
        <f t="shared" ref="F40:L40" si="27">+F41+F42+F43+F44+F45+F46+F47</f>
        <v>10209.6</v>
      </c>
      <c r="G40" s="79">
        <f t="shared" si="27"/>
        <v>10856.513036499999</v>
      </c>
      <c r="H40" s="79">
        <f t="shared" si="27"/>
        <v>10360.150000000001</v>
      </c>
      <c r="I40" s="17">
        <f t="shared" si="27"/>
        <v>0</v>
      </c>
      <c r="J40" s="17">
        <f t="shared" si="27"/>
        <v>20153.062108800001</v>
      </c>
      <c r="K40" s="17">
        <f t="shared" si="27"/>
        <v>31388.9134123</v>
      </c>
      <c r="L40" s="17">
        <f t="shared" si="27"/>
        <v>50650.200201599997</v>
      </c>
    </row>
    <row r="41" spans="2:13">
      <c r="B41" s="19" t="s">
        <v>46</v>
      </c>
      <c r="C41" s="80">
        <v>149.46</v>
      </c>
      <c r="D41" s="80">
        <v>129.01</v>
      </c>
      <c r="E41" s="80">
        <v>246.6</v>
      </c>
      <c r="F41" s="80">
        <v>201.94</v>
      </c>
      <c r="G41" s="80">
        <v>938.24</v>
      </c>
      <c r="H41" s="80">
        <v>242.66</v>
      </c>
      <c r="I41" s="20"/>
      <c r="J41" s="20">
        <v>378.24</v>
      </c>
      <c r="K41" s="17">
        <f>C41+E41+G41+I41</f>
        <v>1334.3</v>
      </c>
      <c r="L41" s="17">
        <f t="shared" ref="K41:L45" si="28">D41+F41+H41+J41</f>
        <v>951.85</v>
      </c>
    </row>
    <row r="42" spans="2:13">
      <c r="B42" s="19" t="s">
        <v>47</v>
      </c>
      <c r="C42" s="80">
        <v>4417.0227800000011</v>
      </c>
      <c r="D42" s="80">
        <v>4013.269561999999</v>
      </c>
      <c r="E42" s="80">
        <v>4364.0200000000004</v>
      </c>
      <c r="F42" s="80">
        <v>4155.33</v>
      </c>
      <c r="G42" s="80">
        <v>4349.8885809999992</v>
      </c>
      <c r="H42" s="80">
        <v>4118.01</v>
      </c>
      <c r="I42" s="20"/>
      <c r="J42" s="20">
        <v>13582.639748</v>
      </c>
      <c r="K42" s="17">
        <f t="shared" si="28"/>
        <v>13130.931361000001</v>
      </c>
      <c r="L42" s="17">
        <f t="shared" si="28"/>
        <v>25869.249309999999</v>
      </c>
    </row>
    <row r="43" spans="2:13">
      <c r="B43" s="19" t="s">
        <v>48</v>
      </c>
      <c r="C43" s="80">
        <v>529.24</v>
      </c>
      <c r="D43" s="80">
        <v>499.41</v>
      </c>
      <c r="E43" s="80">
        <f>583.48+0.01</f>
        <v>583.49</v>
      </c>
      <c r="F43" s="80">
        <v>427.68</v>
      </c>
      <c r="G43" s="80">
        <v>489.94</v>
      </c>
      <c r="H43" s="80">
        <v>574.67999999999995</v>
      </c>
      <c r="I43" s="20"/>
      <c r="J43" s="20">
        <v>581.60099019999996</v>
      </c>
      <c r="K43" s="17">
        <f>C43+E43+G43+I43</f>
        <v>1602.67</v>
      </c>
      <c r="L43" s="17">
        <f t="shared" si="28"/>
        <v>2083.3709902000001</v>
      </c>
    </row>
    <row r="44" spans="2:13">
      <c r="B44" s="19" t="s">
        <v>49</v>
      </c>
      <c r="C44" s="80">
        <v>1778.8351579999999</v>
      </c>
      <c r="D44" s="80">
        <v>1778.7084707999998</v>
      </c>
      <c r="E44" s="80">
        <v>1781.9612178000002</v>
      </c>
      <c r="F44" s="80">
        <v>1777.43</v>
      </c>
      <c r="G44" s="80">
        <v>1775.9121035000003</v>
      </c>
      <c r="H44" s="80">
        <v>1777.54</v>
      </c>
      <c r="I44" s="20"/>
      <c r="J44" s="20">
        <v>1777.3289206000002</v>
      </c>
      <c r="K44" s="17">
        <f t="shared" si="28"/>
        <v>5336.7084793000004</v>
      </c>
      <c r="L44" s="17">
        <f t="shared" si="28"/>
        <v>7111.0073913999995</v>
      </c>
    </row>
    <row r="45" spans="2:13">
      <c r="B45" s="19" t="s">
        <v>50</v>
      </c>
      <c r="C45" s="80">
        <v>3360.3496</v>
      </c>
      <c r="D45" s="80">
        <v>3506.9900600000001</v>
      </c>
      <c r="E45" s="80">
        <v>3321.4216200000001</v>
      </c>
      <c r="F45" s="80">
        <v>3647.22</v>
      </c>
      <c r="G45" s="80">
        <v>3302.5323520000002</v>
      </c>
      <c r="H45" s="80">
        <v>3647.26</v>
      </c>
      <c r="I45" s="20"/>
      <c r="J45" s="20">
        <v>3833.25245</v>
      </c>
      <c r="K45" s="17">
        <f t="shared" si="28"/>
        <v>9984.3035720000007</v>
      </c>
      <c r="L45" s="17">
        <f t="shared" si="28"/>
        <v>14634.72251</v>
      </c>
    </row>
    <row r="46" spans="2:13">
      <c r="B46" s="19" t="s">
        <v>51</v>
      </c>
      <c r="C46" s="80"/>
      <c r="D46" s="80"/>
      <c r="E46" s="80"/>
      <c r="F46" s="80"/>
      <c r="G46" s="80"/>
      <c r="H46" s="80"/>
      <c r="I46" s="20"/>
      <c r="J46" s="87"/>
      <c r="K46" s="17">
        <f>C46+E46+G46+I46</f>
        <v>0</v>
      </c>
      <c r="L46" s="17">
        <f>D46+F46+H46+J46</f>
        <v>0</v>
      </c>
    </row>
    <row r="47" spans="2:13">
      <c r="B47" s="19" t="s">
        <v>52</v>
      </c>
      <c r="C47" s="80"/>
      <c r="D47" s="80">
        <v>0</v>
      </c>
      <c r="E47" s="80"/>
      <c r="F47" s="80">
        <v>0</v>
      </c>
      <c r="G47" s="80"/>
      <c r="H47" s="80"/>
      <c r="I47" s="20"/>
      <c r="J47" s="87"/>
      <c r="K47" s="17">
        <f>C47+E47+G47+I47</f>
        <v>0</v>
      </c>
      <c r="L47" s="17">
        <f>D47+F47+H47+J47</f>
        <v>0</v>
      </c>
    </row>
    <row r="48" spans="2:13">
      <c r="B48" s="38" t="s">
        <v>53</v>
      </c>
      <c r="C48" s="81">
        <f>+C36+C40</f>
        <v>51475.556113899991</v>
      </c>
      <c r="D48" s="81">
        <f t="shared" ref="D48:L48" si="29">+D36+D40</f>
        <v>46009.663732299996</v>
      </c>
      <c r="E48" s="81">
        <f t="shared" si="29"/>
        <v>54650.132837800003</v>
      </c>
      <c r="F48" s="81">
        <f t="shared" si="29"/>
        <v>56213.730057899993</v>
      </c>
      <c r="G48" s="81">
        <f t="shared" si="29"/>
        <v>46740.543036499999</v>
      </c>
      <c r="H48" s="81">
        <f t="shared" si="29"/>
        <v>45464.52</v>
      </c>
      <c r="I48" s="29">
        <f t="shared" si="29"/>
        <v>0</v>
      </c>
      <c r="J48" s="29">
        <f t="shared" si="29"/>
        <v>46506.632108799997</v>
      </c>
      <c r="K48" s="29">
        <f t="shared" si="29"/>
        <v>152866.23198819999</v>
      </c>
      <c r="L48" s="29">
        <f t="shared" si="29"/>
        <v>194194.54589899999</v>
      </c>
    </row>
    <row r="49" spans="2:12">
      <c r="B49" s="39" t="s">
        <v>54</v>
      </c>
      <c r="C49" s="82"/>
      <c r="D49" s="82"/>
      <c r="E49" s="82"/>
      <c r="F49" s="82"/>
      <c r="G49" s="82"/>
      <c r="H49" s="82"/>
      <c r="I49" s="39"/>
      <c r="J49" s="39"/>
      <c r="K49" s="40"/>
      <c r="L49" s="40"/>
    </row>
    <row r="50" spans="2:12">
      <c r="B50" s="38" t="s">
        <v>55</v>
      </c>
      <c r="C50" s="81">
        <f>C28-C48</f>
        <v>18813.121996100002</v>
      </c>
      <c r="D50" s="81">
        <f t="shared" ref="D50:L50" si="30">D28-D48</f>
        <v>-13559.271967899993</v>
      </c>
      <c r="E50" s="81">
        <f t="shared" si="30"/>
        <v>14798.067162199994</v>
      </c>
      <c r="F50" s="81">
        <f t="shared" si="30"/>
        <v>-15239.730096999992</v>
      </c>
      <c r="G50" s="81">
        <f t="shared" si="30"/>
        <v>205.52296950000164</v>
      </c>
      <c r="H50" s="81">
        <f t="shared" si="30"/>
        <v>-2702.8999999999942</v>
      </c>
      <c r="I50" s="29">
        <f t="shared" si="30"/>
        <v>0</v>
      </c>
      <c r="J50" s="29">
        <f t="shared" si="30"/>
        <v>1603.4978912000079</v>
      </c>
      <c r="K50" s="29">
        <f t="shared" si="30"/>
        <v>33816.712127800041</v>
      </c>
      <c r="L50" s="29">
        <f t="shared" si="30"/>
        <v>-29898.404173699964</v>
      </c>
    </row>
    <row r="51" spans="2:12">
      <c r="B51" s="19" t="s">
        <v>56</v>
      </c>
      <c r="C51" s="20"/>
      <c r="D51" s="80"/>
      <c r="E51" s="125"/>
      <c r="F51" s="80"/>
      <c r="G51" s="80"/>
      <c r="H51" s="80"/>
      <c r="I51" s="20"/>
      <c r="J51" s="20"/>
      <c r="K51" s="17">
        <f t="shared" ref="K51:L52" si="31">C51+E51+G51+I51</f>
        <v>0</v>
      </c>
      <c r="L51" s="17">
        <f t="shared" si="31"/>
        <v>0</v>
      </c>
    </row>
    <row r="52" spans="2:12">
      <c r="B52" s="19" t="s">
        <v>57</v>
      </c>
      <c r="C52" s="20"/>
      <c r="D52" s="80"/>
      <c r="E52" s="125"/>
      <c r="F52" s="80"/>
      <c r="G52" s="80"/>
      <c r="H52" s="80"/>
      <c r="I52" s="20"/>
      <c r="J52" s="20"/>
      <c r="K52" s="17">
        <f t="shared" si="31"/>
        <v>0</v>
      </c>
      <c r="L52" s="17">
        <f t="shared" si="31"/>
        <v>0</v>
      </c>
    </row>
    <row r="53" spans="2:12">
      <c r="B53" s="38" t="s">
        <v>58</v>
      </c>
      <c r="C53" s="81">
        <f>+C50-C51-C52</f>
        <v>18813.121996100002</v>
      </c>
      <c r="D53" s="81">
        <f t="shared" ref="D53:L53" si="32">+D50-D51-D52</f>
        <v>-13559.271967899993</v>
      </c>
      <c r="E53" s="81">
        <f t="shared" si="32"/>
        <v>14798.067162199994</v>
      </c>
      <c r="F53" s="81">
        <f t="shared" si="32"/>
        <v>-15239.730096999992</v>
      </c>
      <c r="G53" s="81">
        <f t="shared" si="32"/>
        <v>205.52296950000164</v>
      </c>
      <c r="H53" s="81">
        <f t="shared" si="32"/>
        <v>-2702.8999999999942</v>
      </c>
      <c r="I53" s="29">
        <f t="shared" si="32"/>
        <v>0</v>
      </c>
      <c r="J53" s="29">
        <f t="shared" si="32"/>
        <v>1603.4978912000079</v>
      </c>
      <c r="K53" s="29">
        <f t="shared" si="32"/>
        <v>33816.712127800041</v>
      </c>
      <c r="L53" s="29">
        <f t="shared" si="32"/>
        <v>-29898.404173699964</v>
      </c>
    </row>
    <row r="54" spans="2:12">
      <c r="C54" s="23"/>
    </row>
    <row r="56" spans="2:12" ht="18.75">
      <c r="B56" s="12" t="s">
        <v>59</v>
      </c>
    </row>
    <row r="57" spans="2:12">
      <c r="B57" s="13" t="s">
        <v>60</v>
      </c>
      <c r="C57" s="15" t="str">
        <f t="shared" ref="C57" si="33">$B$5</f>
        <v>2024-25</v>
      </c>
      <c r="D57" s="15" t="str">
        <f t="shared" ref="D57" si="34">$B$6</f>
        <v>2023-24</v>
      </c>
      <c r="E57" s="124" t="str">
        <f t="shared" ref="E57" si="35">$B$5</f>
        <v>2024-25</v>
      </c>
      <c r="F57" s="15" t="str">
        <f t="shared" ref="F57" si="36">$B$6</f>
        <v>2023-24</v>
      </c>
      <c r="G57" s="15" t="str">
        <f t="shared" ref="G57" si="37">$B$5</f>
        <v>2024-25</v>
      </c>
      <c r="H57" s="15" t="str">
        <f t="shared" ref="H57" si="38">$B$6</f>
        <v>2023-24</v>
      </c>
      <c r="I57" s="15" t="str">
        <f t="shared" ref="I57" si="39">$B$5</f>
        <v>2024-25</v>
      </c>
      <c r="J57" s="15" t="str">
        <f t="shared" ref="J57" si="40">$B$6</f>
        <v>2023-24</v>
      </c>
    </row>
    <row r="58" spans="2:12" ht="30">
      <c r="B58" s="13"/>
      <c r="C58" s="15" t="s">
        <v>61</v>
      </c>
      <c r="D58" s="15" t="s">
        <v>61</v>
      </c>
      <c r="E58" s="15" t="s">
        <v>62</v>
      </c>
      <c r="F58" s="15" t="s">
        <v>62</v>
      </c>
      <c r="G58" s="15" t="s">
        <v>63</v>
      </c>
      <c r="H58" s="15" t="s">
        <v>63</v>
      </c>
      <c r="I58" s="15" t="s">
        <v>64</v>
      </c>
      <c r="J58" s="15" t="s">
        <v>64</v>
      </c>
    </row>
    <row r="59" spans="2:12">
      <c r="B59" s="22" t="s">
        <v>65</v>
      </c>
      <c r="C59" s="83">
        <v>217127.67999999999</v>
      </c>
      <c r="D59" s="83">
        <v>206628.5018080119</v>
      </c>
      <c r="E59" s="83">
        <v>224602.58</v>
      </c>
      <c r="F59" s="83">
        <v>209050.26</v>
      </c>
      <c r="G59" s="83">
        <v>234310.68</v>
      </c>
      <c r="H59" s="83">
        <v>210640.46</v>
      </c>
      <c r="I59" s="41"/>
      <c r="J59" s="41">
        <v>215511.22</v>
      </c>
    </row>
    <row r="60" spans="2:12">
      <c r="B60" s="22" t="s">
        <v>66</v>
      </c>
      <c r="C60" s="83">
        <v>19740.310000000001</v>
      </c>
      <c r="D60" s="83">
        <v>11210.9394981</v>
      </c>
      <c r="E60" s="83">
        <v>22260.59</v>
      </c>
      <c r="F60" s="83">
        <v>11515.95</v>
      </c>
      <c r="G60" s="83">
        <v>26420.47</v>
      </c>
      <c r="H60" s="83">
        <v>15328.9</v>
      </c>
      <c r="I60" s="41"/>
      <c r="J60" s="41">
        <v>16802.53</v>
      </c>
    </row>
    <row r="61" spans="2:12">
      <c r="B61" s="22" t="s">
        <v>67</v>
      </c>
      <c r="C61" s="79">
        <f>+C62+C63-C64</f>
        <v>71649.965929199971</v>
      </c>
      <c r="D61" s="84">
        <f t="shared" ref="D61:J61" si="41">+D62+D63-D64</f>
        <v>87150.914482699998</v>
      </c>
      <c r="E61" s="84">
        <f t="shared" si="41"/>
        <v>75121.119999999995</v>
      </c>
      <c r="F61" s="84">
        <f t="shared" si="41"/>
        <v>83602.559999999998</v>
      </c>
      <c r="G61" s="84">
        <f t="shared" si="41"/>
        <v>77046.55</v>
      </c>
      <c r="H61" s="84">
        <f t="shared" si="41"/>
        <v>88550.51</v>
      </c>
      <c r="I61" s="17">
        <f t="shared" si="41"/>
        <v>0</v>
      </c>
      <c r="J61" s="17">
        <f t="shared" si="41"/>
        <v>89496.508903399998</v>
      </c>
    </row>
    <row r="62" spans="2:12">
      <c r="B62" s="19" t="s">
        <v>68</v>
      </c>
      <c r="C62" s="94"/>
      <c r="D62" s="83"/>
      <c r="E62" s="83"/>
      <c r="F62" s="83"/>
      <c r="G62" s="83"/>
      <c r="H62" s="83"/>
      <c r="I62" s="41"/>
      <c r="J62" s="41"/>
    </row>
    <row r="63" spans="2:12">
      <c r="B63" s="19" t="s">
        <v>69</v>
      </c>
      <c r="C63" s="94">
        <v>71649.965929199971</v>
      </c>
      <c r="D63" s="94">
        <v>87150.914482699998</v>
      </c>
      <c r="E63" s="83">
        <v>75121.119999999995</v>
      </c>
      <c r="F63" s="83">
        <v>83602.559999999998</v>
      </c>
      <c r="G63" s="83">
        <v>77046.55</v>
      </c>
      <c r="H63" s="83">
        <v>88550.51</v>
      </c>
      <c r="I63" s="145"/>
      <c r="J63" s="145">
        <v>89496.508903399998</v>
      </c>
    </row>
    <row r="64" spans="2:12">
      <c r="B64" s="19" t="s">
        <v>70</v>
      </c>
      <c r="C64" s="94"/>
      <c r="D64" s="83"/>
      <c r="E64" s="83"/>
      <c r="F64" s="83"/>
      <c r="G64" s="83"/>
      <c r="H64" s="83"/>
      <c r="I64" s="41"/>
      <c r="J64" s="41"/>
    </row>
    <row r="65" spans="2:10">
      <c r="B65" s="22" t="s">
        <v>71</v>
      </c>
      <c r="C65" s="94"/>
      <c r="D65" s="83"/>
      <c r="E65" s="83"/>
      <c r="F65" s="83"/>
      <c r="G65" s="83"/>
      <c r="H65" s="83"/>
      <c r="I65" s="41"/>
      <c r="J65" s="41"/>
    </row>
    <row r="66" spans="2:10">
      <c r="B66" s="22" t="s">
        <v>72</v>
      </c>
      <c r="C66" s="94">
        <v>69149.06</v>
      </c>
      <c r="D66" s="94">
        <v>65123.259712800005</v>
      </c>
      <c r="E66" s="83">
        <v>73933.47</v>
      </c>
      <c r="F66" s="83">
        <v>62060.02</v>
      </c>
      <c r="G66" s="83">
        <v>59886.63</v>
      </c>
      <c r="H66" s="83">
        <v>57432.77</v>
      </c>
      <c r="I66" s="41"/>
      <c r="J66" s="41">
        <v>61713.65</v>
      </c>
    </row>
    <row r="67" spans="2:10">
      <c r="B67" s="38" t="s">
        <v>73</v>
      </c>
      <c r="C67" s="95">
        <f>+C59+C60+C61+C65+C66</f>
        <v>377667.01592919993</v>
      </c>
      <c r="D67" s="85">
        <f t="shared" ref="D67:J67" si="42">+D59+D60+D61+D65+D66</f>
        <v>370113.61550161196</v>
      </c>
      <c r="E67" s="85">
        <f t="shared" si="42"/>
        <v>395917.76</v>
      </c>
      <c r="F67" s="85">
        <f t="shared" si="42"/>
        <v>366228.79000000004</v>
      </c>
      <c r="G67" s="85">
        <f t="shared" si="42"/>
        <v>397664.33</v>
      </c>
      <c r="H67" s="85">
        <f t="shared" si="42"/>
        <v>371952.64000000001</v>
      </c>
      <c r="I67" s="42">
        <f t="shared" si="42"/>
        <v>0</v>
      </c>
      <c r="J67" s="42">
        <f t="shared" si="42"/>
        <v>383523.90890340001</v>
      </c>
    </row>
    <row r="68" spans="2:10">
      <c r="B68" s="13" t="s">
        <v>74</v>
      </c>
      <c r="C68" s="43"/>
      <c r="D68" s="86"/>
      <c r="E68" s="86"/>
      <c r="F68" s="86"/>
      <c r="G68" s="86"/>
      <c r="H68" s="86"/>
      <c r="I68" s="43"/>
      <c r="J68" s="43"/>
    </row>
    <row r="69" spans="2:10">
      <c r="B69" s="37" t="s">
        <v>75</v>
      </c>
      <c r="C69" s="83">
        <v>128821.3569</v>
      </c>
      <c r="D69" s="83">
        <v>87892.996899999998</v>
      </c>
      <c r="E69" s="83">
        <v>147926.35999999999</v>
      </c>
      <c r="F69" s="83">
        <v>128733.8</v>
      </c>
      <c r="G69" s="83">
        <f>E69</f>
        <v>147926.35999999999</v>
      </c>
      <c r="H69" s="83">
        <v>128821.36</v>
      </c>
      <c r="I69" s="41"/>
      <c r="J69" s="41">
        <v>128821.3569</v>
      </c>
    </row>
    <row r="70" spans="2:10">
      <c r="B70" s="22" t="s">
        <v>76</v>
      </c>
      <c r="C70" s="83">
        <v>-425524.6576417</v>
      </c>
      <c r="D70" s="83">
        <v>-399149.78</v>
      </c>
      <c r="E70" s="83">
        <v>-429892.68319380004</v>
      </c>
      <c r="F70" s="83">
        <v>-440170.36</v>
      </c>
      <c r="G70" s="83">
        <v>-429686.9439206</v>
      </c>
      <c r="H70" s="83">
        <v>-442958.52</v>
      </c>
      <c r="I70" s="41"/>
      <c r="J70" s="41">
        <v>-428224.70573390799</v>
      </c>
    </row>
    <row r="71" spans="2:10">
      <c r="B71" s="22" t="s">
        <v>77</v>
      </c>
      <c r="C71" s="83">
        <v>142354.71384530002</v>
      </c>
      <c r="D71" s="83">
        <v>133799.95924229998</v>
      </c>
      <c r="E71" s="83">
        <v>144516.53259700004</v>
      </c>
      <c r="F71" s="83">
        <v>138858.44966660001</v>
      </c>
      <c r="G71" s="83">
        <v>160065.83765870004</v>
      </c>
      <c r="H71" s="83">
        <v>138807.44</v>
      </c>
      <c r="I71" s="41"/>
      <c r="J71" s="41">
        <v>140155.57534690003</v>
      </c>
    </row>
    <row r="72" spans="2:10">
      <c r="B72" s="22" t="s">
        <v>78</v>
      </c>
      <c r="C72" s="83">
        <v>134066.03609842565</v>
      </c>
      <c r="D72" s="83"/>
      <c r="E72" s="83">
        <v>132014.57848842564</v>
      </c>
      <c r="F72" s="83"/>
      <c r="G72" s="83">
        <v>129891.06033842567</v>
      </c>
      <c r="H72" s="83"/>
      <c r="I72" s="41"/>
      <c r="J72" s="41">
        <v>106108.088133</v>
      </c>
    </row>
    <row r="73" spans="2:10" ht="21" customHeight="1">
      <c r="B73" s="22" t="s">
        <v>79</v>
      </c>
      <c r="C73" s="85">
        <f>+C74+C75+C76+C77</f>
        <v>150083.14435999998</v>
      </c>
      <c r="D73" s="85">
        <f t="shared" ref="D73:J73" si="43">+D74+D75+D76+D77</f>
        <v>154769.541</v>
      </c>
      <c r="E73" s="85">
        <f t="shared" si="43"/>
        <v>145060.90100000001</v>
      </c>
      <c r="F73" s="85">
        <f t="shared" si="43"/>
        <v>152636.38</v>
      </c>
      <c r="G73" s="85">
        <f t="shared" si="43"/>
        <v>140438.84099999999</v>
      </c>
      <c r="H73" s="85">
        <f t="shared" si="43"/>
        <v>158063.43</v>
      </c>
      <c r="I73" s="42">
        <f t="shared" si="43"/>
        <v>0</v>
      </c>
      <c r="J73" s="42">
        <f t="shared" si="43"/>
        <v>154645.43677999999</v>
      </c>
    </row>
    <row r="74" spans="2:10">
      <c r="B74" s="19" t="s">
        <v>80</v>
      </c>
      <c r="C74" s="83">
        <v>17544.581000000002</v>
      </c>
      <c r="D74" s="83">
        <v>17544.580999999998</v>
      </c>
      <c r="E74" s="83">
        <f>17544.581-605.86</f>
        <v>16938.720999999998</v>
      </c>
      <c r="F74" s="83">
        <v>17544.580000000002</v>
      </c>
      <c r="G74" s="83">
        <f>17544.581-G76</f>
        <v>16938.720999999998</v>
      </c>
      <c r="H74" s="83">
        <v>17544.580000000002</v>
      </c>
      <c r="I74" s="41"/>
      <c r="J74" s="41">
        <f>17544.581-605.86</f>
        <v>16938.720999999998</v>
      </c>
    </row>
    <row r="75" spans="2:10">
      <c r="B75" s="19" t="s">
        <v>81</v>
      </c>
      <c r="C75" s="83">
        <f>132040.44009-C74</f>
        <v>114495.85908999998</v>
      </c>
      <c r="D75" s="83">
        <v>137224.95999999999</v>
      </c>
      <c r="E75" s="83">
        <f>127516.32-17399.64</f>
        <v>110116.68000000001</v>
      </c>
      <c r="F75" s="83">
        <v>135091.79999999999</v>
      </c>
      <c r="G75" s="83">
        <f>122894.26-G77</f>
        <v>105494.62</v>
      </c>
      <c r="H75" s="83">
        <v>133921.79</v>
      </c>
      <c r="I75" s="41"/>
      <c r="J75" s="41">
        <v>119664.01578000002</v>
      </c>
    </row>
    <row r="76" spans="2:10">
      <c r="B76" s="19" t="s">
        <v>82</v>
      </c>
      <c r="C76" s="87">
        <v>605.86</v>
      </c>
      <c r="D76" s="87"/>
      <c r="E76" s="87">
        <v>605.86</v>
      </c>
      <c r="F76" s="87"/>
      <c r="G76" s="87">
        <v>605.86</v>
      </c>
      <c r="H76" s="87"/>
      <c r="I76" s="144"/>
      <c r="J76" s="144">
        <v>605.86</v>
      </c>
    </row>
    <row r="77" spans="2:10">
      <c r="B77" s="19" t="s">
        <v>83</v>
      </c>
      <c r="C77" s="87">
        <f>18042.70427-C76</f>
        <v>17436.844269999998</v>
      </c>
      <c r="D77" s="87"/>
      <c r="E77" s="87">
        <v>17399.64</v>
      </c>
      <c r="F77" s="87"/>
      <c r="G77" s="87">
        <v>17399.64</v>
      </c>
      <c r="H77" s="87">
        <v>6597.06</v>
      </c>
      <c r="I77" s="144"/>
      <c r="J77" s="144">
        <v>17436.84</v>
      </c>
    </row>
    <row r="78" spans="2:10">
      <c r="B78" s="73" t="s">
        <v>84</v>
      </c>
      <c r="C78" s="85">
        <f>+C79+C80</f>
        <v>0</v>
      </c>
      <c r="D78" s="85">
        <f t="shared" ref="D78:J78" si="44">+D79+D80</f>
        <v>0</v>
      </c>
      <c r="E78" s="85">
        <f t="shared" si="44"/>
        <v>0</v>
      </c>
      <c r="F78" s="85">
        <f t="shared" si="44"/>
        <v>0</v>
      </c>
      <c r="G78" s="85">
        <f t="shared" si="44"/>
        <v>0</v>
      </c>
      <c r="H78" s="85">
        <f t="shared" si="44"/>
        <v>0</v>
      </c>
      <c r="I78" s="42">
        <f t="shared" si="44"/>
        <v>0</v>
      </c>
      <c r="J78" s="42">
        <f t="shared" si="44"/>
        <v>0</v>
      </c>
    </row>
    <row r="79" spans="2:10">
      <c r="B79" s="19" t="s">
        <v>85</v>
      </c>
      <c r="C79" s="87"/>
      <c r="D79" s="87"/>
      <c r="E79" s="87"/>
      <c r="F79" s="87"/>
      <c r="G79" s="87"/>
      <c r="H79" s="87"/>
      <c r="I79" s="20"/>
      <c r="J79" s="20"/>
    </row>
    <row r="80" spans="2:10">
      <c r="B80" s="19" t="s">
        <v>86</v>
      </c>
      <c r="C80" s="87"/>
      <c r="D80" s="87"/>
      <c r="E80" s="87"/>
      <c r="F80" s="87"/>
      <c r="G80" s="87"/>
      <c r="H80" s="87"/>
      <c r="I80" s="20"/>
      <c r="J80" s="20"/>
    </row>
    <row r="81" spans="2:12">
      <c r="B81" s="37" t="s">
        <v>87</v>
      </c>
      <c r="C81" s="83">
        <v>93767.77</v>
      </c>
      <c r="D81" s="83">
        <v>96257.403409600025</v>
      </c>
      <c r="E81" s="83">
        <v>113609.5107626</v>
      </c>
      <c r="F81" s="83">
        <v>116821.49</v>
      </c>
      <c r="G81" s="83">
        <v>92863.816839900013</v>
      </c>
      <c r="H81" s="83">
        <v>123672.18</v>
      </c>
      <c r="I81" s="41"/>
      <c r="J81" s="41">
        <v>71357.9142039</v>
      </c>
    </row>
    <row r="82" spans="2:12">
      <c r="B82" s="22" t="s">
        <v>88</v>
      </c>
      <c r="C82" s="83">
        <f>508.53+171632.83-C76-C77</f>
        <v>154098.65573</v>
      </c>
      <c r="D82" s="83">
        <f>296543.51-0.01</f>
        <v>296543.5</v>
      </c>
      <c r="E82" s="83">
        <f>160688.06-18005.5</f>
        <v>142682.56</v>
      </c>
      <c r="F82" s="83">
        <v>269349.05</v>
      </c>
      <c r="G82" s="83">
        <f>174170.86-G76-G77</f>
        <v>156165.35999999999</v>
      </c>
      <c r="H82" s="83">
        <v>265546.77</v>
      </c>
      <c r="I82" s="41"/>
      <c r="J82" s="41">
        <f>228702.94-J76-J77</f>
        <v>210660.24000000002</v>
      </c>
    </row>
    <row r="83" spans="2:12">
      <c r="B83" s="44" t="s">
        <v>89</v>
      </c>
      <c r="C83" s="85">
        <f>+C69+C70+C71+C72+C73+C78+C81+C82</f>
        <v>377667.01929202565</v>
      </c>
      <c r="D83" s="85">
        <f t="shared" ref="D83:J83" si="45">+D69+D70+D71+D72+D73+D81+D82</f>
        <v>370113.62055190001</v>
      </c>
      <c r="E83" s="85">
        <f t="shared" si="45"/>
        <v>395917.75965422567</v>
      </c>
      <c r="F83" s="85">
        <f t="shared" si="45"/>
        <v>366228.80966660002</v>
      </c>
      <c r="G83" s="85">
        <f t="shared" si="45"/>
        <v>397664.33191642573</v>
      </c>
      <c r="H83" s="85">
        <f t="shared" si="45"/>
        <v>371952.66</v>
      </c>
      <c r="I83" s="42">
        <f t="shared" si="45"/>
        <v>0</v>
      </c>
      <c r="J83" s="51">
        <f t="shared" si="45"/>
        <v>383523.90562989202</v>
      </c>
    </row>
    <row r="84" spans="2:12" s="11" customFormat="1">
      <c r="B84" s="11" t="s">
        <v>90</v>
      </c>
      <c r="C84" s="97">
        <f>C83-C67</f>
        <v>3.3628257224336267E-3</v>
      </c>
      <c r="D84" s="97">
        <f t="shared" ref="D84:J84" si="46">D83-D67</f>
        <v>5.0502880476415157E-3</v>
      </c>
      <c r="E84" s="131">
        <f t="shared" si="46"/>
        <v>-3.4577434416860342E-4</v>
      </c>
      <c r="F84" s="98">
        <f t="shared" si="46"/>
        <v>1.9666599982883781E-2</v>
      </c>
      <c r="G84" s="131">
        <f t="shared" si="46"/>
        <v>1.9164257100783288E-3</v>
      </c>
      <c r="H84" s="97">
        <f t="shared" si="46"/>
        <v>1.9999999960418791E-2</v>
      </c>
      <c r="I84" s="97">
        <f t="shared" si="46"/>
        <v>0</v>
      </c>
      <c r="J84" s="97">
        <f t="shared" si="46"/>
        <v>-3.2735079876147211E-3</v>
      </c>
    </row>
    <row r="86" spans="2:12">
      <c r="B86" s="13" t="s">
        <v>91</v>
      </c>
      <c r="C86" s="184" t="s">
        <v>13</v>
      </c>
      <c r="D86" s="189"/>
      <c r="E86" s="184" t="s">
        <v>14</v>
      </c>
      <c r="F86" s="189"/>
      <c r="G86" s="184" t="s">
        <v>15</v>
      </c>
      <c r="H86" s="189"/>
      <c r="I86" s="184" t="s">
        <v>16</v>
      </c>
      <c r="J86" s="189"/>
      <c r="K86" s="186" t="s">
        <v>17</v>
      </c>
      <c r="L86" s="187"/>
    </row>
    <row r="87" spans="2:12">
      <c r="B87" s="13"/>
      <c r="C87" s="15" t="str">
        <f t="shared" ref="C87" si="47">$B$5</f>
        <v>2024-25</v>
      </c>
      <c r="D87" s="15" t="str">
        <f t="shared" ref="D87" si="48">$B$6</f>
        <v>2023-24</v>
      </c>
      <c r="E87" s="15" t="str">
        <f t="shared" ref="E87" si="49">$B$5</f>
        <v>2024-25</v>
      </c>
      <c r="F87" s="15" t="str">
        <f t="shared" ref="F87" si="50">$B$6</f>
        <v>2023-24</v>
      </c>
      <c r="G87" s="15" t="str">
        <f t="shared" ref="G87" si="51">$B$5</f>
        <v>2024-25</v>
      </c>
      <c r="H87" s="15" t="str">
        <f t="shared" ref="H87" si="52">$B$6</f>
        <v>2023-24</v>
      </c>
      <c r="I87" s="15" t="str">
        <f t="shared" ref="I87" si="53">$B$5</f>
        <v>2024-25</v>
      </c>
      <c r="J87" s="15" t="str">
        <f t="shared" ref="J87" si="54">$B$6</f>
        <v>2023-24</v>
      </c>
      <c r="K87" s="15" t="str">
        <f t="shared" ref="K87" si="55">$B$5</f>
        <v>2024-25</v>
      </c>
      <c r="L87" s="15" t="str">
        <f t="shared" ref="L87" si="56">$B$6</f>
        <v>2023-24</v>
      </c>
    </row>
    <row r="88" spans="2:12">
      <c r="B88" s="22" t="s">
        <v>92</v>
      </c>
      <c r="C88" s="46">
        <f>+C89+C90+C91+C92</f>
        <v>0</v>
      </c>
      <c r="D88" s="46">
        <f>+D89+D90+D91+D92</f>
        <v>0</v>
      </c>
      <c r="E88" s="46">
        <f t="shared" ref="E88:L88" si="57">+E89+E90+E91+E92</f>
        <v>0</v>
      </c>
      <c r="F88" s="46">
        <f t="shared" si="57"/>
        <v>0</v>
      </c>
      <c r="G88" s="46">
        <f t="shared" si="57"/>
        <v>0</v>
      </c>
      <c r="H88" s="46">
        <f t="shared" si="57"/>
        <v>0</v>
      </c>
      <c r="I88" s="46">
        <f t="shared" si="57"/>
        <v>0</v>
      </c>
      <c r="J88" s="46">
        <f t="shared" si="57"/>
        <v>0</v>
      </c>
      <c r="K88" s="46">
        <f t="shared" si="57"/>
        <v>0</v>
      </c>
      <c r="L88" s="46">
        <f t="shared" si="57"/>
        <v>0</v>
      </c>
    </row>
    <row r="89" spans="2:12">
      <c r="B89" s="19" t="s">
        <v>93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</row>
    <row r="90" spans="2:12">
      <c r="B90" s="19" t="s">
        <v>94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</row>
    <row r="91" spans="2:12">
      <c r="B91" s="19" t="s">
        <v>95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</row>
    <row r="92" spans="2:12">
      <c r="B92" s="19" t="s">
        <v>96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</row>
    <row r="93" spans="2:12">
      <c r="B93" s="22" t="s">
        <v>97</v>
      </c>
      <c r="C93" s="101">
        <f>+C94+C95+C96+C97</f>
        <v>302.05663099999998</v>
      </c>
      <c r="D93" s="101">
        <f>+D94+D95+D96+D97</f>
        <v>179.844596</v>
      </c>
      <c r="E93" s="101">
        <f t="shared" ref="E93:L93" si="58">+E94+E95+E96+E97</f>
        <v>467.06606950000003</v>
      </c>
      <c r="F93" s="101">
        <f t="shared" si="58"/>
        <v>424.53825899999998</v>
      </c>
      <c r="G93" s="101">
        <f t="shared" si="58"/>
        <v>156.78132099999999</v>
      </c>
      <c r="H93" s="101">
        <f t="shared" si="58"/>
        <v>188.881494</v>
      </c>
      <c r="I93" s="101">
        <f t="shared" si="58"/>
        <v>0</v>
      </c>
      <c r="J93" s="101">
        <f t="shared" si="58"/>
        <v>106.390209</v>
      </c>
      <c r="K93" s="46">
        <f t="shared" si="58"/>
        <v>925.9040215</v>
      </c>
      <c r="L93" s="46">
        <f t="shared" si="58"/>
        <v>899.65455799999995</v>
      </c>
    </row>
    <row r="94" spans="2:12">
      <c r="B94" s="19" t="s">
        <v>98</v>
      </c>
      <c r="C94" s="96">
        <v>302.05663099999998</v>
      </c>
      <c r="D94" s="96">
        <v>179.844596</v>
      </c>
      <c r="E94" s="96">
        <v>467.06606950000003</v>
      </c>
      <c r="F94" s="92">
        <v>424.53825899999998</v>
      </c>
      <c r="G94" s="147">
        <v>156.78132099999999</v>
      </c>
      <c r="H94" s="92">
        <v>188.881494</v>
      </c>
      <c r="I94" s="93"/>
      <c r="J94" s="92">
        <v>106.390209</v>
      </c>
      <c r="K94" s="46">
        <f t="shared" ref="K94:L98" si="59">C94+E94+G94+I94</f>
        <v>925.9040215</v>
      </c>
      <c r="L94" s="46">
        <f t="shared" si="59"/>
        <v>899.65455799999995</v>
      </c>
    </row>
    <row r="95" spans="2:12">
      <c r="B95" s="19" t="s">
        <v>99</v>
      </c>
      <c r="C95" s="47"/>
      <c r="D95" s="47"/>
      <c r="E95" s="93"/>
      <c r="F95" s="93"/>
      <c r="G95" s="93"/>
      <c r="H95" s="93"/>
      <c r="I95" s="93"/>
      <c r="J95" s="93"/>
      <c r="K95" s="46">
        <f t="shared" si="59"/>
        <v>0</v>
      </c>
      <c r="L95" s="46">
        <f t="shared" si="59"/>
        <v>0</v>
      </c>
    </row>
    <row r="96" spans="2:12">
      <c r="B96" s="19" t="s">
        <v>100</v>
      </c>
      <c r="C96" s="47"/>
      <c r="D96" s="47"/>
      <c r="E96" s="93"/>
      <c r="F96" s="93"/>
      <c r="G96" s="93"/>
      <c r="H96" s="93"/>
      <c r="I96" s="93"/>
      <c r="J96" s="93"/>
      <c r="K96" s="46">
        <f t="shared" si="59"/>
        <v>0</v>
      </c>
      <c r="L96" s="46">
        <f t="shared" si="59"/>
        <v>0</v>
      </c>
    </row>
    <row r="97" spans="1:15">
      <c r="B97" s="19" t="s">
        <v>101</v>
      </c>
      <c r="C97" s="47"/>
      <c r="D97" s="47"/>
      <c r="E97" s="93"/>
      <c r="F97" s="93"/>
      <c r="G97" s="93"/>
      <c r="H97" s="93"/>
      <c r="I97" s="93"/>
      <c r="J97" s="93"/>
      <c r="K97" s="46">
        <f t="shared" si="59"/>
        <v>0</v>
      </c>
      <c r="L97" s="46">
        <f t="shared" si="59"/>
        <v>0</v>
      </c>
    </row>
    <row r="98" spans="1:15">
      <c r="B98" s="22" t="s">
        <v>102</v>
      </c>
      <c r="C98" s="88">
        <v>2.085105800000008</v>
      </c>
      <c r="D98" s="88">
        <v>1.4669500100000203</v>
      </c>
      <c r="E98" s="165">
        <v>3.1308325000001105</v>
      </c>
      <c r="F98" s="99">
        <v>4.33669217800003</v>
      </c>
      <c r="G98" s="99">
        <v>1.779696290000004</v>
      </c>
      <c r="H98" s="99">
        <v>2.4092008850000055</v>
      </c>
      <c r="I98" s="100"/>
      <c r="J98" s="99">
        <v>1.066174697999984</v>
      </c>
      <c r="K98" s="46">
        <f t="shared" si="59"/>
        <v>6.9956345900001224</v>
      </c>
      <c r="L98" s="46">
        <f t="shared" si="59"/>
        <v>9.2790177710000386</v>
      </c>
      <c r="O98" s="110"/>
    </row>
    <row r="99" spans="1:15">
      <c r="B99" s="22" t="s">
        <v>103</v>
      </c>
      <c r="C99" s="154">
        <f>C192</f>
        <v>437.92770090099998</v>
      </c>
      <c r="D99" s="154">
        <f>D192</f>
        <v>384.59119561425001</v>
      </c>
      <c r="E99" s="154">
        <f t="shared" ref="E99:L99" si="60">E192</f>
        <v>404.41</v>
      </c>
      <c r="F99" s="154">
        <f t="shared" si="60"/>
        <v>513.06699734100005</v>
      </c>
      <c r="G99" s="46">
        <f t="shared" si="60"/>
        <v>425.81260878900002</v>
      </c>
      <c r="H99" s="101">
        <f t="shared" si="60"/>
        <v>421.82586808899998</v>
      </c>
      <c r="I99" s="46">
        <f t="shared" si="60"/>
        <v>0</v>
      </c>
      <c r="J99" s="102">
        <f t="shared" si="60"/>
        <v>422.67531978699998</v>
      </c>
      <c r="K99" s="46">
        <f t="shared" si="60"/>
        <v>1268.1503096900001</v>
      </c>
      <c r="L99" s="46">
        <f t="shared" si="60"/>
        <v>1742.1593808312502</v>
      </c>
    </row>
    <row r="100" spans="1:15">
      <c r="B100" s="38" t="s">
        <v>104</v>
      </c>
      <c r="C100" s="42">
        <f>+C93-C98+C99</f>
        <v>737.89922610099995</v>
      </c>
      <c r="D100" s="42">
        <f>+D93-D98+D99</f>
        <v>562.96884160424997</v>
      </c>
      <c r="E100" s="42">
        <f t="shared" ref="E100:L100" si="61">+E93-E98+E99</f>
        <v>868.345237</v>
      </c>
      <c r="F100" s="42">
        <f t="shared" si="61"/>
        <v>933.26856416300006</v>
      </c>
      <c r="G100" s="42">
        <f t="shared" si="61"/>
        <v>580.81423349900001</v>
      </c>
      <c r="H100" s="51">
        <f t="shared" si="61"/>
        <v>608.29816120399994</v>
      </c>
      <c r="I100" s="42">
        <f t="shared" si="61"/>
        <v>0</v>
      </c>
      <c r="J100" s="42">
        <f t="shared" si="61"/>
        <v>527.99935408900001</v>
      </c>
      <c r="K100" s="46">
        <f t="shared" si="61"/>
        <v>2187.0586966000001</v>
      </c>
      <c r="L100" s="46">
        <f t="shared" si="61"/>
        <v>2632.5349210602503</v>
      </c>
    </row>
    <row r="101" spans="1:15">
      <c r="A101" s="106"/>
      <c r="B101" s="22" t="s">
        <v>105</v>
      </c>
      <c r="C101" s="166">
        <v>31.625065179383185</v>
      </c>
      <c r="D101" s="166">
        <v>28.57</v>
      </c>
      <c r="E101" s="147">
        <v>31.91</v>
      </c>
      <c r="F101" s="166">
        <v>35.277507976381742</v>
      </c>
      <c r="G101" s="169">
        <v>28.859881180410419</v>
      </c>
      <c r="H101" s="147">
        <v>34.532454902355127</v>
      </c>
      <c r="I101" s="147"/>
      <c r="J101" s="105">
        <v>34.26</v>
      </c>
      <c r="K101" s="105">
        <f>C101+E101+G101+I101</f>
        <v>92.394946359793607</v>
      </c>
      <c r="L101" s="105">
        <f>D101+F101+H101+J101</f>
        <v>132.63996287873687</v>
      </c>
    </row>
    <row r="102" spans="1:15">
      <c r="B102" s="49" t="s">
        <v>106</v>
      </c>
      <c r="C102" s="42">
        <f>+C103+C104+C105</f>
        <v>641.02761444034195</v>
      </c>
      <c r="D102" s="42">
        <f>+D103+D104+D105</f>
        <v>483.01247302829131</v>
      </c>
      <c r="E102" s="42">
        <f t="shared" ref="E102:L102" si="62">+E103+E104+E105</f>
        <v>751.31158721013469</v>
      </c>
      <c r="F102" s="42">
        <f t="shared" si="62"/>
        <v>814.25502142197604</v>
      </c>
      <c r="G102" s="42">
        <f t="shared" si="62"/>
        <v>445.31217786015452</v>
      </c>
      <c r="H102" s="42">
        <f t="shared" si="62"/>
        <v>482.26104555188914</v>
      </c>
      <c r="I102" s="42">
        <f t="shared" si="62"/>
        <v>0</v>
      </c>
      <c r="J102" s="42">
        <f t="shared" si="62"/>
        <v>412.79491503200001</v>
      </c>
      <c r="K102" s="42">
        <f t="shared" si="62"/>
        <v>1837.6513795106312</v>
      </c>
      <c r="L102" s="42">
        <f t="shared" si="62"/>
        <v>2192.3187509521567</v>
      </c>
    </row>
    <row r="103" spans="1:15">
      <c r="B103" s="19" t="s">
        <v>107</v>
      </c>
      <c r="C103" s="46">
        <f>C146-C144-C145</f>
        <v>319.58104039224571</v>
      </c>
      <c r="D103" s="46">
        <v>308.5262988295413</v>
      </c>
      <c r="E103" s="46">
        <f t="shared" ref="E103:L103" si="63">E146-E144-E145</f>
        <v>333.42740653643517</v>
      </c>
      <c r="F103" s="46">
        <v>317.06212947297604</v>
      </c>
      <c r="G103" s="46">
        <f t="shared" si="63"/>
        <v>285.2798039273747</v>
      </c>
      <c r="H103" s="46">
        <f t="shared" si="63"/>
        <v>348.23281430988914</v>
      </c>
      <c r="I103" s="46">
        <f t="shared" si="63"/>
        <v>0</v>
      </c>
      <c r="J103" s="46">
        <f t="shared" si="63"/>
        <v>334</v>
      </c>
      <c r="K103" s="46">
        <f t="shared" si="63"/>
        <v>938.28825085605558</v>
      </c>
      <c r="L103" s="46">
        <f t="shared" si="63"/>
        <v>1307.8165385304064</v>
      </c>
    </row>
    <row r="104" spans="1:15">
      <c r="B104" s="19" t="s">
        <v>108</v>
      </c>
      <c r="C104" s="46">
        <f>C144</f>
        <v>20.803455950096229</v>
      </c>
      <c r="D104" s="46">
        <v>22.240219</v>
      </c>
      <c r="E104" s="46">
        <f t="shared" ref="E104:L105" si="64">E144</f>
        <v>17.674180673699549</v>
      </c>
      <c r="F104" s="46">
        <f t="shared" si="64"/>
        <v>33.709839700000003</v>
      </c>
      <c r="G104" s="46">
        <f t="shared" si="64"/>
        <v>16.920299326779872</v>
      </c>
      <c r="H104" s="46">
        <f t="shared" si="64"/>
        <v>33.348255000000002</v>
      </c>
      <c r="I104" s="46">
        <f t="shared" si="64"/>
        <v>0</v>
      </c>
      <c r="J104" s="46">
        <f t="shared" si="64"/>
        <v>34</v>
      </c>
      <c r="K104" s="46">
        <f t="shared" si="64"/>
        <v>55.397935950575643</v>
      </c>
      <c r="L104" s="46">
        <f t="shared" si="64"/>
        <v>123.29831369999999</v>
      </c>
    </row>
    <row r="105" spans="1:15">
      <c r="B105" s="19" t="s">
        <v>109</v>
      </c>
      <c r="C105" s="46">
        <f>C145</f>
        <v>300.643118098</v>
      </c>
      <c r="D105" s="46">
        <v>152.24595519874998</v>
      </c>
      <c r="E105" s="46">
        <f t="shared" si="64"/>
        <v>400.21</v>
      </c>
      <c r="F105" s="46">
        <v>463.48305224900002</v>
      </c>
      <c r="G105" s="103">
        <f t="shared" si="64"/>
        <v>143.11207460599999</v>
      </c>
      <c r="H105" s="154">
        <f t="shared" si="64"/>
        <v>100.67997624200001</v>
      </c>
      <c r="I105" s="46">
        <f t="shared" si="64"/>
        <v>0</v>
      </c>
      <c r="J105" s="103">
        <f t="shared" si="64"/>
        <v>44.794915032000006</v>
      </c>
      <c r="K105" s="46">
        <f t="shared" si="64"/>
        <v>843.96519270399995</v>
      </c>
      <c r="L105" s="46">
        <f t="shared" si="64"/>
        <v>761.20389872175019</v>
      </c>
    </row>
    <row r="106" spans="1:15">
      <c r="B106" s="38" t="s">
        <v>110</v>
      </c>
      <c r="C106" s="42">
        <f t="shared" ref="C106:L106" si="65">+C100-C101-C105</f>
        <v>405.63104282361672</v>
      </c>
      <c r="D106" s="42">
        <f t="shared" si="65"/>
        <v>382.15288640549994</v>
      </c>
      <c r="E106" s="42">
        <f t="shared" si="65"/>
        <v>436.22523700000005</v>
      </c>
      <c r="F106" s="42">
        <f t="shared" si="65"/>
        <v>434.50800393761835</v>
      </c>
      <c r="G106" s="42">
        <f t="shared" si="65"/>
        <v>408.84227771258963</v>
      </c>
      <c r="H106" s="51">
        <f t="shared" si="65"/>
        <v>473.08573005964485</v>
      </c>
      <c r="I106" s="42">
        <f t="shared" si="65"/>
        <v>0</v>
      </c>
      <c r="J106" s="42">
        <f t="shared" si="65"/>
        <v>448.94443905700001</v>
      </c>
      <c r="K106" s="51">
        <f>+K100-K101-K105</f>
        <v>1250.6985575362064</v>
      </c>
      <c r="L106" s="42">
        <f t="shared" si="65"/>
        <v>1738.6910594597634</v>
      </c>
    </row>
    <row r="107" spans="1:15">
      <c r="A107" s="106"/>
      <c r="B107" s="38" t="s">
        <v>111</v>
      </c>
      <c r="C107" s="107">
        <f>+C102-C105</f>
        <v>340.38449634234195</v>
      </c>
      <c r="D107" s="107">
        <f>+D102-D105</f>
        <v>330.76651782954133</v>
      </c>
      <c r="E107" s="107">
        <f t="shared" ref="E107:L107" si="66">+E102-E105</f>
        <v>351.10158721013471</v>
      </c>
      <c r="F107" s="107">
        <f t="shared" si="66"/>
        <v>350.77196917297601</v>
      </c>
      <c r="G107" s="107">
        <f t="shared" si="66"/>
        <v>302.20010325415456</v>
      </c>
      <c r="H107" s="160">
        <f t="shared" si="66"/>
        <v>381.58106930988913</v>
      </c>
      <c r="I107" s="107">
        <f t="shared" si="66"/>
        <v>0</v>
      </c>
      <c r="J107" s="107">
        <f>+J102-J105</f>
        <v>368</v>
      </c>
      <c r="K107" s="107">
        <f t="shared" si="66"/>
        <v>993.68618680663121</v>
      </c>
      <c r="L107" s="107">
        <f t="shared" si="66"/>
        <v>1431.1148522304065</v>
      </c>
      <c r="M107" s="108"/>
    </row>
    <row r="108" spans="1:15">
      <c r="B108" s="38" t="s">
        <v>112</v>
      </c>
      <c r="C108" s="42">
        <f t="shared" ref="C108:L108" si="67">+C14+C15+C16+C21</f>
        <v>26418.43</v>
      </c>
      <c r="D108" s="42">
        <f t="shared" si="67"/>
        <v>21201.639830200002</v>
      </c>
      <c r="E108" s="42">
        <f t="shared" si="67"/>
        <v>28228.269999999997</v>
      </c>
      <c r="F108" s="42">
        <f t="shared" si="67"/>
        <v>24235.3096749</v>
      </c>
      <c r="G108" s="42">
        <f t="shared" si="67"/>
        <v>24020.416006000003</v>
      </c>
      <c r="H108" s="42">
        <f t="shared" si="67"/>
        <v>26739.68</v>
      </c>
      <c r="I108" s="42">
        <f t="shared" si="67"/>
        <v>0</v>
      </c>
      <c r="J108" s="42">
        <f t="shared" si="67"/>
        <v>33961.220000000008</v>
      </c>
      <c r="K108" s="42">
        <f t="shared" si="67"/>
        <v>78667.116006000011</v>
      </c>
      <c r="L108" s="42">
        <f t="shared" si="67"/>
        <v>106137.84950510001</v>
      </c>
    </row>
    <row r="109" spans="1:15">
      <c r="A109" s="106"/>
      <c r="B109" s="22" t="s">
        <v>113</v>
      </c>
      <c r="C109" s="146">
        <v>681.78</v>
      </c>
      <c r="D109" s="146">
        <v>905.31</v>
      </c>
      <c r="E109" s="146">
        <v>716.5</v>
      </c>
      <c r="F109" s="153">
        <v>871.51</v>
      </c>
      <c r="G109" s="146">
        <f>E110</f>
        <v>751.21</v>
      </c>
      <c r="H109" s="146">
        <v>836.02</v>
      </c>
      <c r="I109" s="146"/>
      <c r="J109" s="146">
        <v>885.5</v>
      </c>
      <c r="K109" s="107">
        <f>SUM(C109,E109,G109,I109)</f>
        <v>2149.4899999999998</v>
      </c>
      <c r="L109" s="107">
        <f>SUM(D109,F109,H109,J109)</f>
        <v>3498.34</v>
      </c>
    </row>
    <row r="110" spans="1:15">
      <c r="A110" s="106"/>
      <c r="B110" s="22" t="s">
        <v>114</v>
      </c>
      <c r="C110" s="146">
        <v>716.5</v>
      </c>
      <c r="D110" s="146">
        <v>875.51</v>
      </c>
      <c r="E110" s="146">
        <v>751.21</v>
      </c>
      <c r="F110" s="153">
        <v>836.02</v>
      </c>
      <c r="G110" s="146">
        <f>77046.5530801/100</f>
        <v>770.465530801</v>
      </c>
      <c r="H110" s="146">
        <v>885.51</v>
      </c>
      <c r="I110" s="146"/>
      <c r="J110" s="146">
        <v>894.96</v>
      </c>
      <c r="K110" s="107">
        <f>SUM(C110,E110,G110,I110)</f>
        <v>2238.1755308010001</v>
      </c>
      <c r="L110" s="107">
        <f>SUM(D110,F110,H110,J110)</f>
        <v>3492</v>
      </c>
    </row>
    <row r="111" spans="1:15">
      <c r="B111" s="38" t="s">
        <v>115</v>
      </c>
      <c r="C111" s="42">
        <f t="shared" ref="C111:L111" si="68">+C14+C15+C16+C29+C109-C110</f>
        <v>26383.71</v>
      </c>
      <c r="D111" s="42">
        <f t="shared" si="68"/>
        <v>21231.439830200005</v>
      </c>
      <c r="E111" s="42">
        <f t="shared" si="68"/>
        <v>28193.559999999998</v>
      </c>
      <c r="F111" s="42">
        <f t="shared" si="68"/>
        <v>24270.799674899998</v>
      </c>
      <c r="G111" s="42">
        <f t="shared" si="68"/>
        <v>24001.160475199002</v>
      </c>
      <c r="H111" s="42">
        <f t="shared" si="68"/>
        <v>26690.190000000002</v>
      </c>
      <c r="I111" s="42">
        <f t="shared" si="68"/>
        <v>0</v>
      </c>
      <c r="J111" s="42">
        <f t="shared" si="68"/>
        <v>33951.760000000009</v>
      </c>
      <c r="K111" s="42">
        <f t="shared" si="68"/>
        <v>78578.430475199013</v>
      </c>
      <c r="L111" s="42">
        <f t="shared" si="68"/>
        <v>106144.1895051</v>
      </c>
      <c r="M111" s="50"/>
    </row>
    <row r="112" spans="1:15">
      <c r="B112" s="38" t="s">
        <v>116</v>
      </c>
      <c r="C112" s="51">
        <f>+C107/C106*100</f>
        <v>83.914804442211704</v>
      </c>
      <c r="D112" s="51">
        <f>+D107/D106*100</f>
        <v>86.553452713835355</v>
      </c>
      <c r="E112" s="51">
        <f t="shared" ref="E112:L112" si="69">+E107/E106*100</f>
        <v>80.486307858922586</v>
      </c>
      <c r="F112" s="51">
        <f t="shared" si="69"/>
        <v>80.728540324733771</v>
      </c>
      <c r="G112" s="51">
        <f t="shared" si="69"/>
        <v>73.916059988932204</v>
      </c>
      <c r="H112" s="51">
        <f t="shared" si="69"/>
        <v>80.657911466021361</v>
      </c>
      <c r="I112" s="51" t="e">
        <f t="shared" si="69"/>
        <v>#DIV/0!</v>
      </c>
      <c r="J112" s="51">
        <f t="shared" si="69"/>
        <v>81.970054194897173</v>
      </c>
      <c r="K112" s="51">
        <f t="shared" si="69"/>
        <v>79.450494351262975</v>
      </c>
      <c r="L112" s="51">
        <f t="shared" si="69"/>
        <v>82.3098988428154</v>
      </c>
    </row>
    <row r="113" spans="1:14">
      <c r="B113" s="38" t="s">
        <v>117</v>
      </c>
      <c r="C113" s="51">
        <f>+C111/C108*100</f>
        <v>99.868576595959709</v>
      </c>
      <c r="D113" s="51">
        <f>+D111/D108*100</f>
        <v>100.14055516572617</v>
      </c>
      <c r="E113" s="51">
        <f t="shared" ref="E113:K113" si="70">+E111/E108*100</f>
        <v>99.877038160680769</v>
      </c>
      <c r="F113" s="51">
        <f t="shared" si="70"/>
        <v>100.14643922638527</v>
      </c>
      <c r="G113" s="51">
        <f t="shared" si="70"/>
        <v>99.919836813832902</v>
      </c>
      <c r="H113" s="51">
        <f t="shared" si="70"/>
        <v>99.814919251090515</v>
      </c>
      <c r="I113" s="51" t="e">
        <f t="shared" si="70"/>
        <v>#DIV/0!</v>
      </c>
      <c r="J113" s="109">
        <f>+J111/J108*100</f>
        <v>99.972144699159799</v>
      </c>
      <c r="K113" s="51">
        <f t="shared" si="70"/>
        <v>99.887264799698215</v>
      </c>
      <c r="L113" s="51">
        <f>+L111/L108*100</f>
        <v>100.00597336391263</v>
      </c>
    </row>
    <row r="114" spans="1:14">
      <c r="B114" s="38" t="s">
        <v>118</v>
      </c>
      <c r="C114" s="42">
        <f>C113*C107/100</f>
        <v>339.93715145042341</v>
      </c>
      <c r="D114" s="42">
        <f>D113*D107/100</f>
        <v>331.23142725684329</v>
      </c>
      <c r="E114" s="42">
        <f t="shared" ref="E114:J114" si="71">E113*E107/100</f>
        <v>350.66986624062213</v>
      </c>
      <c r="F114" s="42">
        <f t="shared" si="71"/>
        <v>351.28563693100926</v>
      </c>
      <c r="G114" s="42">
        <f t="shared" si="71"/>
        <v>301.95785002278575</v>
      </c>
      <c r="H114" s="42">
        <f t="shared" si="71"/>
        <v>380.87483620911354</v>
      </c>
      <c r="I114" s="42" t="e">
        <f t="shared" si="71"/>
        <v>#DIV/0!</v>
      </c>
      <c r="J114" s="42">
        <f t="shared" si="71"/>
        <v>367.89749249290804</v>
      </c>
      <c r="K114" s="42" t="e">
        <f>SUM(C114,E114,G114,I114)</f>
        <v>#DIV/0!</v>
      </c>
      <c r="L114" s="42">
        <f>SUM(D114,F114,H114,J114)</f>
        <v>1431.2893928898741</v>
      </c>
    </row>
    <row r="115" spans="1:14">
      <c r="A115" s="106"/>
      <c r="B115" s="38" t="s">
        <v>119</v>
      </c>
      <c r="C115" s="51">
        <f>100-C112*C113/100</f>
        <v>16.195479250280002</v>
      </c>
      <c r="D115" s="51">
        <f>100-D112*D113/100</f>
        <v>13.324891937261</v>
      </c>
      <c r="E115" s="51">
        <f t="shared" ref="E115:J115" si="72">100-E112*E113/100</f>
        <v>19.612659585620889</v>
      </c>
      <c r="F115" s="51">
        <f t="shared" si="72"/>
        <v>19.153241425342571</v>
      </c>
      <c r="G115" s="51">
        <f t="shared" si="72"/>
        <v>26.143193479844101</v>
      </c>
      <c r="H115" s="51">
        <f t="shared" si="72"/>
        <v>19.4913708005747</v>
      </c>
      <c r="I115" s="51" t="e">
        <f t="shared" si="72"/>
        <v>#DIV/0!</v>
      </c>
      <c r="J115" s="51">
        <f t="shared" si="72"/>
        <v>18.052778810297696</v>
      </c>
      <c r="K115" s="109" t="e">
        <f>(K106-K114)/K106*100</f>
        <v>#DIV/0!</v>
      </c>
      <c r="L115" s="109">
        <f>(L106-L114)/L106*100</f>
        <v>17.680062533099093</v>
      </c>
    </row>
    <row r="116" spans="1:14">
      <c r="B116" s="52"/>
    </row>
    <row r="118" spans="1:14" hidden="1"/>
    <row r="119" spans="1:14">
      <c r="B119" s="13" t="s">
        <v>120</v>
      </c>
      <c r="C119" s="184" t="s">
        <v>13</v>
      </c>
      <c r="D119" s="189"/>
      <c r="E119" s="184" t="s">
        <v>14</v>
      </c>
      <c r="F119" s="189"/>
      <c r="G119" s="184" t="s">
        <v>15</v>
      </c>
      <c r="H119" s="189"/>
      <c r="I119" s="184" t="s">
        <v>16</v>
      </c>
      <c r="J119" s="189"/>
      <c r="K119" s="186" t="s">
        <v>17</v>
      </c>
      <c r="L119" s="187"/>
    </row>
    <row r="120" spans="1:14">
      <c r="B120" s="13"/>
      <c r="C120" s="15" t="str">
        <f t="shared" ref="C120" si="73">$B$5</f>
        <v>2024-25</v>
      </c>
      <c r="D120" s="15" t="str">
        <f t="shared" ref="D120" si="74">$B$6</f>
        <v>2023-24</v>
      </c>
      <c r="E120" s="124" t="str">
        <f t="shared" ref="E120" si="75">$B$5</f>
        <v>2024-25</v>
      </c>
      <c r="F120" s="15" t="str">
        <f t="shared" ref="F120" si="76">$B$6</f>
        <v>2023-24</v>
      </c>
      <c r="G120" s="124" t="str">
        <f t="shared" ref="G120" si="77">$B$5</f>
        <v>2024-25</v>
      </c>
      <c r="H120" s="15" t="str">
        <f t="shared" ref="H120" si="78">$B$6</f>
        <v>2023-24</v>
      </c>
      <c r="I120" s="15" t="str">
        <f t="shared" ref="I120" si="79">$B$5</f>
        <v>2024-25</v>
      </c>
      <c r="J120" s="15" t="str">
        <f t="shared" ref="J120" si="80">$B$6</f>
        <v>2023-24</v>
      </c>
      <c r="K120" s="15" t="str">
        <f t="shared" ref="K120" si="81">$B$5</f>
        <v>2024-25</v>
      </c>
      <c r="L120" s="15" t="str">
        <f t="shared" ref="L120" si="82">$B$6</f>
        <v>2023-24</v>
      </c>
    </row>
    <row r="121" spans="1:14">
      <c r="B121" s="38" t="s">
        <v>121</v>
      </c>
      <c r="C121" s="51">
        <f>+C48*10/C100</f>
        <v>697.59601708613627</v>
      </c>
      <c r="D121" s="51">
        <f t="shared" ref="D121:L121" si="83">+D48*10/D100</f>
        <v>817.26838737983644</v>
      </c>
      <c r="E121" s="133">
        <f t="shared" si="83"/>
        <v>629.35950482791679</v>
      </c>
      <c r="F121" s="133">
        <f t="shared" si="83"/>
        <v>602.33176404388121</v>
      </c>
      <c r="G121" s="133">
        <f t="shared" si="83"/>
        <v>804.74169434383316</v>
      </c>
      <c r="H121" s="51">
        <f t="shared" si="83"/>
        <v>747.40518547701038</v>
      </c>
      <c r="I121" s="51" t="e">
        <f t="shared" si="83"/>
        <v>#DIV/0!</v>
      </c>
      <c r="J121" s="51">
        <f t="shared" si="83"/>
        <v>880.80850381041944</v>
      </c>
      <c r="K121" s="51">
        <f t="shared" si="83"/>
        <v>698.95806740736191</v>
      </c>
      <c r="L121" s="51">
        <f t="shared" si="83"/>
        <v>737.6713005607096</v>
      </c>
      <c r="N121" s="53"/>
    </row>
    <row r="122" spans="1:14">
      <c r="B122" s="54" t="s">
        <v>122</v>
      </c>
      <c r="C122" s="51">
        <f t="shared" ref="C122:L122" si="84">C28*10/C100</f>
        <v>952.55118346443726</v>
      </c>
      <c r="D122" s="51">
        <f t="shared" si="84"/>
        <v>576.41541354097967</v>
      </c>
      <c r="E122" s="133">
        <f t="shared" si="84"/>
        <v>799.77636820964108</v>
      </c>
      <c r="F122" s="133">
        <f t="shared" si="84"/>
        <v>439.0376096900622</v>
      </c>
      <c r="G122" s="133">
        <f t="shared" si="84"/>
        <v>808.28022624691459</v>
      </c>
      <c r="H122" s="51">
        <f t="shared" si="84"/>
        <v>702.97138356233484</v>
      </c>
      <c r="I122" s="51" t="e">
        <f t="shared" si="84"/>
        <v>#DIV/0!</v>
      </c>
      <c r="J122" s="51">
        <f t="shared" si="84"/>
        <v>911.17781920412199</v>
      </c>
      <c r="K122" s="51">
        <f t="shared" si="84"/>
        <v>853.57994463622401</v>
      </c>
      <c r="L122" s="51">
        <f t="shared" si="84"/>
        <v>624.09862224782921</v>
      </c>
      <c r="M122" s="52"/>
      <c r="N122" s="53"/>
    </row>
    <row r="123" spans="1:14">
      <c r="B123" s="38" t="s">
        <v>123</v>
      </c>
      <c r="C123" s="51">
        <f>+C121-C122</f>
        <v>-254.95516637830099</v>
      </c>
      <c r="D123" s="51">
        <f t="shared" ref="D123:L123" si="85">+D121-D122</f>
        <v>240.85297383885677</v>
      </c>
      <c r="E123" s="133">
        <f t="shared" si="85"/>
        <v>-170.41686338172428</v>
      </c>
      <c r="F123" s="133">
        <f t="shared" si="85"/>
        <v>163.29415435381901</v>
      </c>
      <c r="G123" s="133">
        <f t="shared" si="85"/>
        <v>-3.5385319030814344</v>
      </c>
      <c r="H123" s="51">
        <f t="shared" si="85"/>
        <v>44.433801914675541</v>
      </c>
      <c r="I123" s="51" t="e">
        <f t="shared" si="85"/>
        <v>#DIV/0!</v>
      </c>
      <c r="J123" s="51">
        <f t="shared" si="85"/>
        <v>-30.36931539370255</v>
      </c>
      <c r="K123" s="51">
        <f t="shared" si="85"/>
        <v>-154.6218772288621</v>
      </c>
      <c r="L123" s="51">
        <f t="shared" si="85"/>
        <v>113.57267831288038</v>
      </c>
    </row>
    <row r="124" spans="1:14">
      <c r="B124" s="38" t="s">
        <v>124</v>
      </c>
      <c r="C124" s="51">
        <f t="shared" ref="C124:L124" si="86">C30*10/C100</f>
        <v>952.55118346443726</v>
      </c>
      <c r="D124" s="51">
        <f t="shared" si="86"/>
        <v>576.41541354097967</v>
      </c>
      <c r="E124" s="133">
        <f t="shared" si="86"/>
        <v>799.77636820964108</v>
      </c>
      <c r="F124" s="133">
        <f t="shared" si="86"/>
        <v>439.0376096900622</v>
      </c>
      <c r="G124" s="133">
        <f t="shared" si="86"/>
        <v>808.28022624691459</v>
      </c>
      <c r="H124" s="51">
        <f t="shared" si="86"/>
        <v>702.97138356233484</v>
      </c>
      <c r="I124" s="51" t="e">
        <f t="shared" si="86"/>
        <v>#DIV/0!</v>
      </c>
      <c r="J124" s="51">
        <f t="shared" si="86"/>
        <v>911.17781920412199</v>
      </c>
      <c r="K124" s="51">
        <f t="shared" si="86"/>
        <v>853.57994463622401</v>
      </c>
      <c r="L124" s="51">
        <f t="shared" si="86"/>
        <v>624.09862224782921</v>
      </c>
      <c r="N124" s="55"/>
    </row>
    <row r="125" spans="1:14">
      <c r="B125" s="38" t="s">
        <v>125</v>
      </c>
      <c r="C125" s="51">
        <f>+C121-C124</f>
        <v>-254.95516637830099</v>
      </c>
      <c r="D125" s="51">
        <f t="shared" ref="D125:L125" si="87">+D121-D124</f>
        <v>240.85297383885677</v>
      </c>
      <c r="E125" s="133">
        <f t="shared" si="87"/>
        <v>-170.41686338172428</v>
      </c>
      <c r="F125" s="133">
        <f t="shared" si="87"/>
        <v>163.29415435381901</v>
      </c>
      <c r="G125" s="133">
        <f t="shared" si="87"/>
        <v>-3.5385319030814344</v>
      </c>
      <c r="H125" s="51">
        <f t="shared" si="87"/>
        <v>44.433801914675541</v>
      </c>
      <c r="I125" s="51" t="e">
        <f t="shared" si="87"/>
        <v>#DIV/0!</v>
      </c>
      <c r="J125" s="51">
        <f t="shared" si="87"/>
        <v>-30.36931539370255</v>
      </c>
      <c r="K125" s="51">
        <f t="shared" si="87"/>
        <v>-154.6218772288621</v>
      </c>
      <c r="L125" s="51">
        <f t="shared" si="87"/>
        <v>113.57267831288038</v>
      </c>
    </row>
    <row r="126" spans="1:14" ht="30">
      <c r="B126" s="44" t="s">
        <v>126</v>
      </c>
      <c r="C126" s="51">
        <f t="shared" ref="C126:L126" si="88">(C30-C22-C25)*10/C100</f>
        <v>627.30351886375649</v>
      </c>
      <c r="D126" s="51">
        <f t="shared" si="88"/>
        <v>487.60055150080217</v>
      </c>
      <c r="E126" s="133">
        <f t="shared" si="88"/>
        <v>644.30824994552256</v>
      </c>
      <c r="F126" s="133">
        <f t="shared" si="88"/>
        <v>331.88731679480668</v>
      </c>
      <c r="G126" s="133">
        <f t="shared" si="88"/>
        <v>648.16018332072815</v>
      </c>
      <c r="H126" s="51">
        <f t="shared" si="88"/>
        <v>587.797601249183</v>
      </c>
      <c r="I126" s="51" t="e">
        <f t="shared" si="88"/>
        <v>#DIV/0!</v>
      </c>
      <c r="J126" s="51">
        <f t="shared" si="88"/>
        <v>911.17781920412199</v>
      </c>
      <c r="K126" s="51">
        <f t="shared" si="88"/>
        <v>639.59391823119313</v>
      </c>
      <c r="L126" s="51">
        <f t="shared" si="88"/>
        <v>540.50618887134397</v>
      </c>
      <c r="N126" s="56"/>
    </row>
    <row r="127" spans="1:14" ht="30">
      <c r="B127" s="44" t="s">
        <v>127</v>
      </c>
      <c r="C127" s="51">
        <f>+C121-C126</f>
        <v>70.292498222379777</v>
      </c>
      <c r="D127" s="51">
        <f t="shared" ref="D127:J127" si="89">+D121-D126</f>
        <v>329.66783587903427</v>
      </c>
      <c r="E127" s="133">
        <f t="shared" si="89"/>
        <v>-14.948745117605768</v>
      </c>
      <c r="F127" s="133">
        <f t="shared" si="89"/>
        <v>270.44444724907453</v>
      </c>
      <c r="G127" s="133">
        <f t="shared" si="89"/>
        <v>156.58151102310501</v>
      </c>
      <c r="H127" s="51">
        <f t="shared" si="89"/>
        <v>159.60758422782737</v>
      </c>
      <c r="I127" s="51" t="e">
        <f t="shared" si="89"/>
        <v>#DIV/0!</v>
      </c>
      <c r="J127" s="51">
        <f t="shared" si="89"/>
        <v>-30.36931539370255</v>
      </c>
      <c r="K127" s="51">
        <f>+K121-K126</f>
        <v>59.36414917616878</v>
      </c>
      <c r="L127" s="51">
        <f>+L121-L126</f>
        <v>197.16511168936563</v>
      </c>
    </row>
    <row r="128" spans="1:14">
      <c r="B128" s="38" t="s">
        <v>128</v>
      </c>
      <c r="C128" s="42">
        <f>91*C61/SUM(C13)</f>
        <v>146.83610638795699</v>
      </c>
      <c r="D128" s="42">
        <f>91*D61/SUM(D13)</f>
        <v>309.62286389241257</v>
      </c>
      <c r="E128" s="111">
        <f>183*E61/SUM((C13,E13))</f>
        <v>144.56215117949148</v>
      </c>
      <c r="F128" s="111">
        <f>183*F61/SUM((D13,F13))</f>
        <v>280.47611349476506</v>
      </c>
      <c r="G128" s="111">
        <f>275*G61/SUM(C13,E13,G13)</f>
        <v>162.94445101031155</v>
      </c>
      <c r="H128" s="42">
        <f>275*H61/SUM(D13,F13,H13)</f>
        <v>275.2651242497908</v>
      </c>
      <c r="I128" s="42">
        <f>365*I61/SUM(C13,E13,G13,I13)</f>
        <v>0</v>
      </c>
      <c r="J128" s="42">
        <f>365*J61/SUM(D13,F13,H13,J13)</f>
        <v>262.78806590614835</v>
      </c>
      <c r="K128"/>
      <c r="L128"/>
    </row>
    <row r="129" spans="1:15">
      <c r="B129" s="38" t="s">
        <v>129</v>
      </c>
      <c r="C129" s="42">
        <f>91*C81/SUM(C36)</f>
        <v>206.90428896373845</v>
      </c>
      <c r="D129" s="42">
        <f>91*D81/SUM(D36)</f>
        <v>242.76250749230698</v>
      </c>
      <c r="E129" s="111">
        <f>183*E81/SUM(C36,E36)</f>
        <v>242.89919005880645</v>
      </c>
      <c r="F129" s="111">
        <f>183*F81/SUM(D36,F36)</f>
        <v>260.43694431947995</v>
      </c>
      <c r="G129" s="111">
        <f>275*G81/SUM(C36,E36,G36)</f>
        <v>210.22483810437782</v>
      </c>
      <c r="H129" s="42">
        <f>275*H81/SUM(D36,F36,H36)</f>
        <v>290.20927029118172</v>
      </c>
      <c r="I129" s="42">
        <f>365*I81/SUM(C36,E36,G36,I36)</f>
        <v>0</v>
      </c>
      <c r="J129" s="42">
        <f>365*J81/SUM(D36,F36,H36,J36)</f>
        <v>181.4466362842968</v>
      </c>
      <c r="K129"/>
      <c r="L129"/>
    </row>
    <row r="130" spans="1:15">
      <c r="B130" s="38" t="s">
        <v>130</v>
      </c>
      <c r="C130" s="42">
        <f>C78+C81+C82</f>
        <v>247866.42573000002</v>
      </c>
      <c r="D130" s="42">
        <f t="shared" ref="D130:L130" si="90">D78+D81+D82</f>
        <v>392800.90340960003</v>
      </c>
      <c r="E130" s="111">
        <f t="shared" si="90"/>
        <v>256292.07076259999</v>
      </c>
      <c r="F130" s="111">
        <f t="shared" si="90"/>
        <v>386170.54</v>
      </c>
      <c r="G130" s="111">
        <f t="shared" si="90"/>
        <v>249029.1768399</v>
      </c>
      <c r="H130" s="42">
        <f t="shared" si="90"/>
        <v>389218.95</v>
      </c>
      <c r="I130" s="42">
        <f t="shared" si="90"/>
        <v>0</v>
      </c>
      <c r="J130" s="42">
        <f t="shared" si="90"/>
        <v>282018.15420390002</v>
      </c>
      <c r="K130" s="42">
        <f t="shared" si="90"/>
        <v>0</v>
      </c>
      <c r="L130" s="42">
        <f t="shared" si="90"/>
        <v>0</v>
      </c>
    </row>
    <row r="132" spans="1:15">
      <c r="A132" s="52"/>
      <c r="B132" s="52"/>
    </row>
    <row r="133" spans="1:15">
      <c r="B133" s="13" t="s">
        <v>131</v>
      </c>
      <c r="C133" s="184" t="s">
        <v>13</v>
      </c>
      <c r="D133" s="189"/>
      <c r="E133" s="184" t="s">
        <v>14</v>
      </c>
      <c r="F133" s="189"/>
      <c r="G133" s="184" t="s">
        <v>15</v>
      </c>
      <c r="H133" s="189"/>
      <c r="I133" s="184" t="s">
        <v>16</v>
      </c>
      <c r="J133" s="189"/>
      <c r="K133" s="186" t="s">
        <v>17</v>
      </c>
      <c r="L133" s="187"/>
    </row>
    <row r="134" spans="1:15">
      <c r="B134" s="13"/>
      <c r="C134" s="15" t="str">
        <f t="shared" ref="C134" si="91">$B$5</f>
        <v>2024-25</v>
      </c>
      <c r="D134" s="15" t="str">
        <f t="shared" ref="D134" si="92">$B$6</f>
        <v>2023-24</v>
      </c>
      <c r="E134" s="124" t="str">
        <f t="shared" ref="E134" si="93">$B$5</f>
        <v>2024-25</v>
      </c>
      <c r="F134" s="15" t="str">
        <f t="shared" ref="F134" si="94">$B$6</f>
        <v>2023-24</v>
      </c>
      <c r="G134" s="124" t="str">
        <f t="shared" ref="G134" si="95">$B$5</f>
        <v>2024-25</v>
      </c>
      <c r="H134" s="15" t="str">
        <f t="shared" ref="H134" si="96">$B$6</f>
        <v>2023-24</v>
      </c>
      <c r="I134" s="15" t="str">
        <f t="shared" ref="I134" si="97">$B$5</f>
        <v>2024-25</v>
      </c>
      <c r="J134" s="15" t="str">
        <f t="shared" ref="J134" si="98">$B$6</f>
        <v>2023-24</v>
      </c>
      <c r="K134" s="15" t="str">
        <f t="shared" ref="K134" si="99">$B$5</f>
        <v>2024-25</v>
      </c>
      <c r="L134" s="15" t="str">
        <f t="shared" ref="L134" si="100">$B$6</f>
        <v>2023-24</v>
      </c>
    </row>
    <row r="135" spans="1:15">
      <c r="A135" s="106"/>
      <c r="B135" s="22" t="s">
        <v>132</v>
      </c>
      <c r="C135" s="48">
        <v>122.89419790975816</v>
      </c>
      <c r="D135" s="88">
        <v>111.00950401827984</v>
      </c>
      <c r="E135" s="132">
        <v>122.0506982139426</v>
      </c>
      <c r="F135" s="132">
        <v>115.57732874335395</v>
      </c>
      <c r="G135" s="132">
        <v>128.88467398289345</v>
      </c>
      <c r="H135" s="132">
        <v>128.09981587580776</v>
      </c>
      <c r="I135" s="48"/>
      <c r="J135" s="161">
        <v>147</v>
      </c>
      <c r="K135" s="57">
        <f>C135+E135+G135+I135</f>
        <v>373.82957010659419</v>
      </c>
      <c r="L135" s="89">
        <f>D135+F135+H135+J135</f>
        <v>501.68664863744152</v>
      </c>
    </row>
    <row r="136" spans="1:15">
      <c r="A136" s="106"/>
      <c r="B136" s="22" t="s">
        <v>133</v>
      </c>
      <c r="C136" s="48">
        <v>34.724079531493089</v>
      </c>
      <c r="D136" s="88">
        <v>25.688850819074215</v>
      </c>
      <c r="E136" s="132">
        <v>35.526385603616461</v>
      </c>
      <c r="F136" s="132">
        <v>28.572816078928195</v>
      </c>
      <c r="G136" s="132">
        <v>36.4216376107127</v>
      </c>
      <c r="H136" s="132">
        <v>31.321811102775371</v>
      </c>
      <c r="I136" s="48"/>
      <c r="J136" s="161">
        <v>35</v>
      </c>
      <c r="K136" s="57">
        <f t="shared" ref="K136:L139" si="101">C136+E136+G136+I136</f>
        <v>106.67210274582226</v>
      </c>
      <c r="L136" s="89">
        <f t="shared" si="101"/>
        <v>120.58347800077777</v>
      </c>
    </row>
    <row r="137" spans="1:15">
      <c r="A137" s="106"/>
      <c r="B137" s="22" t="s">
        <v>134</v>
      </c>
      <c r="C137" s="48">
        <v>2.1906001285714287E-2</v>
      </c>
      <c r="D137" s="88">
        <v>0.01</v>
      </c>
      <c r="E137" s="132">
        <v>2.1610331999999999E-2</v>
      </c>
      <c r="F137" s="132">
        <v>1.1796815E-2</v>
      </c>
      <c r="G137" s="132">
        <v>1.746723E-2</v>
      </c>
      <c r="H137" s="132">
        <v>1.4759210000000002E-2</v>
      </c>
      <c r="I137" s="48"/>
      <c r="J137" s="161">
        <v>0</v>
      </c>
      <c r="K137" s="57">
        <f t="shared" si="101"/>
        <v>6.098356328571429E-2</v>
      </c>
      <c r="L137" s="89">
        <f t="shared" si="101"/>
        <v>3.6556025000000006E-2</v>
      </c>
      <c r="O137" s="58"/>
    </row>
    <row r="138" spans="1:15">
      <c r="A138" s="106"/>
      <c r="B138" s="22" t="s">
        <v>135</v>
      </c>
      <c r="C138" s="48">
        <v>128.49168957375235</v>
      </c>
      <c r="D138" s="88">
        <v>141.20386109473623</v>
      </c>
      <c r="E138" s="132">
        <v>142.42289457305583</v>
      </c>
      <c r="F138" s="132">
        <v>141.90085373184573</v>
      </c>
      <c r="G138" s="132">
        <v>83.520048868791449</v>
      </c>
      <c r="H138" s="132">
        <v>151.3837112310683</v>
      </c>
      <c r="I138" s="48"/>
      <c r="J138" s="161">
        <v>108</v>
      </c>
      <c r="K138" s="57">
        <f t="shared" si="101"/>
        <v>354.43463301559962</v>
      </c>
      <c r="L138" s="89">
        <f t="shared" si="101"/>
        <v>542.48842605765026</v>
      </c>
      <c r="O138" s="59"/>
    </row>
    <row r="139" spans="1:15">
      <c r="A139" s="106"/>
      <c r="B139" s="22" t="s">
        <v>136</v>
      </c>
      <c r="C139" s="48">
        <v>15.699973086956312</v>
      </c>
      <c r="D139" s="88">
        <v>15.829029534451045</v>
      </c>
      <c r="E139" s="132">
        <v>16.502522274820283</v>
      </c>
      <c r="F139" s="132">
        <v>14.545272028848171</v>
      </c>
      <c r="G139" s="132">
        <v>15.169978674977077</v>
      </c>
      <c r="H139" s="132">
        <v>14.836521043237694</v>
      </c>
      <c r="I139" s="48"/>
      <c r="J139" s="161">
        <v>17</v>
      </c>
      <c r="K139" s="57">
        <f t="shared" si="101"/>
        <v>47.372474036753673</v>
      </c>
      <c r="L139" s="89">
        <f t="shared" si="101"/>
        <v>62.210822606536908</v>
      </c>
      <c r="O139" s="59"/>
    </row>
    <row r="140" spans="1:15">
      <c r="B140" s="22" t="s">
        <v>137</v>
      </c>
      <c r="C140" s="57">
        <f>+C141+C142+C143+C144+C145</f>
        <v>339.19576833709624</v>
      </c>
      <c r="D140" s="89">
        <f t="shared" ref="D140:L140" si="102">+D141+D142+D143+D144+D145</f>
        <v>189.26652347974999</v>
      </c>
      <c r="E140" s="57">
        <f t="shared" si="102"/>
        <v>434.78747621269952</v>
      </c>
      <c r="F140" s="57">
        <f t="shared" si="102"/>
        <v>513.64695402400002</v>
      </c>
      <c r="G140" s="57">
        <f t="shared" si="102"/>
        <v>181.29837149277986</v>
      </c>
      <c r="H140" s="57">
        <f t="shared" si="102"/>
        <v>156.60442708900001</v>
      </c>
      <c r="I140" s="57">
        <f t="shared" si="102"/>
        <v>0</v>
      </c>
      <c r="J140" s="57">
        <f t="shared" si="102"/>
        <v>105.79491503200001</v>
      </c>
      <c r="K140" s="57">
        <f t="shared" si="102"/>
        <v>955.28161604257559</v>
      </c>
      <c r="L140" s="89">
        <f t="shared" si="102"/>
        <v>965.3128196247502</v>
      </c>
      <c r="O140" s="59"/>
    </row>
    <row r="141" spans="1:15">
      <c r="B141" s="19" t="s">
        <v>138</v>
      </c>
      <c r="C141" s="48"/>
      <c r="D141" s="88"/>
      <c r="E141" s="132"/>
      <c r="F141" s="48"/>
      <c r="G141" s="132"/>
      <c r="H141" s="48"/>
      <c r="I141" s="48"/>
      <c r="J141" s="48"/>
      <c r="K141" s="57">
        <f t="shared" ref="K141:L145" si="103">C141+E141+G141+I141</f>
        <v>0</v>
      </c>
      <c r="L141" s="89">
        <f t="shared" si="103"/>
        <v>0</v>
      </c>
      <c r="O141" s="59"/>
    </row>
    <row r="142" spans="1:15">
      <c r="A142" s="106"/>
      <c r="B142" s="19" t="s">
        <v>139</v>
      </c>
      <c r="C142" s="105">
        <v>17.705210289</v>
      </c>
      <c r="D142" s="163">
        <v>14.732127281000004</v>
      </c>
      <c r="E142" s="132">
        <v>16.863089539000004</v>
      </c>
      <c r="F142" s="132">
        <v>16.405162074999996</v>
      </c>
      <c r="G142" s="132">
        <v>21.232147560000001</v>
      </c>
      <c r="H142" s="132">
        <v>22.534475847000003</v>
      </c>
      <c r="I142" s="105"/>
      <c r="J142" s="162">
        <v>27</v>
      </c>
      <c r="K142" s="57">
        <f t="shared" si="103"/>
        <v>55.800447388000009</v>
      </c>
      <c r="L142" s="89">
        <f t="shared" si="103"/>
        <v>80.671765203000007</v>
      </c>
      <c r="O142" s="59"/>
    </row>
    <row r="143" spans="1:15">
      <c r="A143" s="106"/>
      <c r="B143" s="19" t="s">
        <v>140</v>
      </c>
      <c r="C143" s="105">
        <v>4.3984000000000002E-2</v>
      </c>
      <c r="D143" s="164">
        <v>4.8222000000000001E-2</v>
      </c>
      <c r="E143" s="132">
        <v>4.0205999999999999E-2</v>
      </c>
      <c r="F143" s="132">
        <v>4.8899999999999999E-2</v>
      </c>
      <c r="G143" s="132">
        <v>3.3850000000000005E-2</v>
      </c>
      <c r="H143" s="132">
        <v>4.172E-2</v>
      </c>
      <c r="I143" s="105"/>
      <c r="J143" s="162">
        <v>0</v>
      </c>
      <c r="K143" s="57">
        <f t="shared" si="103"/>
        <v>0.11804000000000001</v>
      </c>
      <c r="L143" s="89">
        <f t="shared" si="103"/>
        <v>0.13884199999999999</v>
      </c>
      <c r="O143" s="60"/>
    </row>
    <row r="144" spans="1:15">
      <c r="A144" s="106"/>
      <c r="B144" s="19" t="s">
        <v>141</v>
      </c>
      <c r="C144" s="105">
        <v>20.803455950096229</v>
      </c>
      <c r="D144" s="163">
        <v>22.240219</v>
      </c>
      <c r="E144" s="132">
        <v>17.674180673699549</v>
      </c>
      <c r="F144" s="132">
        <v>33.709839700000003</v>
      </c>
      <c r="G144" s="132">
        <v>16.920299326779872</v>
      </c>
      <c r="H144" s="132">
        <v>33.348255000000002</v>
      </c>
      <c r="I144" s="105"/>
      <c r="J144" s="162">
        <v>34</v>
      </c>
      <c r="K144" s="57">
        <f t="shared" si="103"/>
        <v>55.397935950575643</v>
      </c>
      <c r="L144" s="89">
        <f t="shared" si="103"/>
        <v>123.29831369999999</v>
      </c>
      <c r="O144" s="61"/>
    </row>
    <row r="145" spans="2:15">
      <c r="B145" s="19" t="s">
        <v>142</v>
      </c>
      <c r="C145" s="48">
        <v>300.643118098</v>
      </c>
      <c r="D145" s="88">
        <v>152.24595519874998</v>
      </c>
      <c r="E145" s="88">
        <v>400.21</v>
      </c>
      <c r="F145" s="156">
        <v>463.48305224900002</v>
      </c>
      <c r="G145" s="157">
        <v>143.11207460599999</v>
      </c>
      <c r="H145" s="157">
        <v>100.67997624200001</v>
      </c>
      <c r="I145" s="143"/>
      <c r="J145" s="158">
        <v>44.794915032000006</v>
      </c>
      <c r="K145" s="89">
        <f t="shared" si="103"/>
        <v>843.96519270399995</v>
      </c>
      <c r="L145" s="89">
        <f t="shared" si="103"/>
        <v>761.20389872175019</v>
      </c>
    </row>
    <row r="146" spans="2:15" s="52" customFormat="1">
      <c r="B146" s="38" t="s">
        <v>143</v>
      </c>
      <c r="C146" s="42">
        <f>+C135+C136+C137+C138+C139+C140</f>
        <v>641.02761444034195</v>
      </c>
      <c r="D146" s="51">
        <f>+D135+D136+D137+D138+D139+D140</f>
        <v>483.00776894629126</v>
      </c>
      <c r="E146" s="42">
        <f t="shared" ref="E146:L146" si="104">+E135+E136+E137+E138+E139+E140</f>
        <v>751.31158721013469</v>
      </c>
      <c r="F146" s="51">
        <f t="shared" si="104"/>
        <v>814.25502142197604</v>
      </c>
      <c r="G146" s="109">
        <f t="shared" si="104"/>
        <v>445.31217786015452</v>
      </c>
      <c r="H146" s="51">
        <f t="shared" si="104"/>
        <v>482.26104555188914</v>
      </c>
      <c r="I146" s="42">
        <f t="shared" si="104"/>
        <v>0</v>
      </c>
      <c r="J146" s="51">
        <f t="shared" si="104"/>
        <v>412.79491503200001</v>
      </c>
      <c r="K146" s="42">
        <f t="shared" si="104"/>
        <v>1837.6513795106312</v>
      </c>
      <c r="L146" s="51">
        <f t="shared" si="104"/>
        <v>2192.3187509521567</v>
      </c>
      <c r="M146" s="148"/>
      <c r="N146" s="62"/>
      <c r="O146" s="62"/>
    </row>
    <row r="147" spans="2:15" s="52" customFormat="1">
      <c r="C147"/>
      <c r="D147" s="63"/>
      <c r="E147" s="134"/>
      <c r="F147" s="63"/>
      <c r="G147" s="134"/>
      <c r="H147" s="63"/>
      <c r="I147" s="63"/>
      <c r="J147" s="63"/>
      <c r="K147" s="63"/>
      <c r="L147" s="63"/>
      <c r="N147" s="62"/>
      <c r="O147" s="62"/>
    </row>
    <row r="148" spans="2:15" s="52" customFormat="1" ht="26.25">
      <c r="C148" s="63"/>
      <c r="D148" s="63"/>
      <c r="E148" s="134"/>
      <c r="F148" s="63"/>
      <c r="G148" s="134"/>
      <c r="H148" s="188" t="s">
        <v>194</v>
      </c>
      <c r="I148" s="188"/>
      <c r="J148" s="188"/>
      <c r="K148" s="188"/>
      <c r="L148" s="188"/>
      <c r="N148" s="62"/>
      <c r="O148" s="62"/>
    </row>
    <row r="149" spans="2:15" s="52" customFormat="1">
      <c r="B149" s="13" t="s">
        <v>144</v>
      </c>
      <c r="C149" s="184" t="s">
        <v>13</v>
      </c>
      <c r="D149" s="189"/>
      <c r="E149" s="184" t="s">
        <v>14</v>
      </c>
      <c r="F149" s="189"/>
      <c r="G149" s="184" t="s">
        <v>15</v>
      </c>
      <c r="H149" s="189"/>
      <c r="I149" s="184" t="s">
        <v>16</v>
      </c>
      <c r="J149" s="189"/>
      <c r="K149" s="186" t="s">
        <v>17</v>
      </c>
      <c r="L149" s="187"/>
      <c r="N149" s="62"/>
      <c r="O149" s="62"/>
    </row>
    <row r="150" spans="2:15" s="52" customFormat="1">
      <c r="B150" s="13"/>
      <c r="C150" s="15" t="str">
        <f t="shared" ref="C150" si="105">$B$5</f>
        <v>2024-25</v>
      </c>
      <c r="D150" s="15" t="str">
        <f t="shared" ref="D150" si="106">$B$6</f>
        <v>2023-24</v>
      </c>
      <c r="E150" s="15" t="str">
        <f t="shared" ref="E150" si="107">$B$5</f>
        <v>2024-25</v>
      </c>
      <c r="F150" s="15" t="str">
        <f t="shared" ref="F150" si="108">$B$6</f>
        <v>2023-24</v>
      </c>
      <c r="G150" s="15" t="str">
        <f t="shared" ref="G150" si="109">$B$5</f>
        <v>2024-25</v>
      </c>
      <c r="H150" s="15" t="str">
        <f t="shared" ref="H150" si="110">$B$6</f>
        <v>2023-24</v>
      </c>
      <c r="I150" s="15" t="str">
        <f t="shared" ref="I150" si="111">$B$5</f>
        <v>2024-25</v>
      </c>
      <c r="J150" s="15" t="str">
        <f t="shared" ref="J150" si="112">$B$6</f>
        <v>2023-24</v>
      </c>
      <c r="K150" s="15" t="str">
        <f t="shared" ref="K150" si="113">$B$5</f>
        <v>2024-25</v>
      </c>
      <c r="L150" s="15" t="str">
        <f t="shared" ref="L150" si="114">$B$6</f>
        <v>2023-24</v>
      </c>
      <c r="N150" s="62"/>
      <c r="O150" s="62"/>
    </row>
    <row r="151" spans="2:15" s="52" customFormat="1">
      <c r="B151" s="22" t="s">
        <v>132</v>
      </c>
      <c r="C151" s="151">
        <f>8150.38/100</f>
        <v>81.503799999999998</v>
      </c>
      <c r="D151" s="88">
        <v>66.799771394999993</v>
      </c>
      <c r="E151" s="88">
        <v>72.337406252999997</v>
      </c>
      <c r="F151" s="88">
        <v>71.515903008999985</v>
      </c>
      <c r="G151" s="88">
        <v>89.102840942</v>
      </c>
      <c r="H151" s="88">
        <v>78.130200000000002</v>
      </c>
      <c r="I151" s="48"/>
      <c r="J151" s="88">
        <v>92.868829896999998</v>
      </c>
      <c r="K151" s="57">
        <f>C151+E151+G151+I151</f>
        <v>242.944047195</v>
      </c>
      <c r="L151" s="57">
        <f>D151+F151+H151+J151</f>
        <v>309.31470430100001</v>
      </c>
      <c r="N151" s="62">
        <v>100</v>
      </c>
      <c r="O151" s="62"/>
    </row>
    <row r="152" spans="2:15" s="52" customFormat="1">
      <c r="B152" s="22" t="s">
        <v>133</v>
      </c>
      <c r="C152" s="151">
        <v>34.619999999999997</v>
      </c>
      <c r="D152" s="88">
        <v>24.965870845999998</v>
      </c>
      <c r="E152" s="88">
        <v>39.021881064999995</v>
      </c>
      <c r="F152" s="88">
        <v>27.728212357000004</v>
      </c>
      <c r="G152" s="88">
        <v>32.306609245000004</v>
      </c>
      <c r="H152" s="88">
        <v>30.151</v>
      </c>
      <c r="I152" s="48"/>
      <c r="J152" s="88">
        <v>33.972264465000002</v>
      </c>
      <c r="K152" s="57">
        <f t="shared" ref="K152:L155" si="115">C152+E152+G152+I152</f>
        <v>105.94849031</v>
      </c>
      <c r="L152" s="57">
        <f t="shared" si="115"/>
        <v>116.817347668</v>
      </c>
      <c r="N152" s="62"/>
      <c r="O152" s="62"/>
    </row>
    <row r="153" spans="2:15" s="52" customFormat="1" ht="15.75">
      <c r="B153" s="22" t="s">
        <v>134</v>
      </c>
      <c r="C153" s="150">
        <f>1.4542763/100</f>
        <v>1.4542763E-2</v>
      </c>
      <c r="D153" s="88">
        <v>9.6556789999999986E-3</v>
      </c>
      <c r="E153" s="88">
        <v>1.2924063999999999E-2</v>
      </c>
      <c r="F153" s="88">
        <v>9.7000000000000003E-3</v>
      </c>
      <c r="G153" s="88">
        <v>1.3674590000000002E-2</v>
      </c>
      <c r="H153" s="88">
        <v>8.8000000000000005E-3</v>
      </c>
      <c r="I153" s="48"/>
      <c r="J153" s="88">
        <v>9.9150850000000006E-3</v>
      </c>
      <c r="K153" s="57">
        <f t="shared" si="115"/>
        <v>4.1141417E-2</v>
      </c>
      <c r="L153" s="57">
        <f t="shared" si="115"/>
        <v>3.8070764000000007E-2</v>
      </c>
      <c r="N153" s="62"/>
      <c r="O153" s="62"/>
    </row>
    <row r="154" spans="2:15" s="52" customFormat="1">
      <c r="B154" s="22" t="s">
        <v>135</v>
      </c>
      <c r="C154" s="151">
        <f>8916.54/100</f>
        <v>89.165400000000005</v>
      </c>
      <c r="D154" s="88">
        <v>83.369352364000008</v>
      </c>
      <c r="E154" s="88">
        <v>128.05290000000002</v>
      </c>
      <c r="F154" s="88">
        <v>101.072</v>
      </c>
      <c r="G154" s="88">
        <f>(4657.93)/100</f>
        <v>46.579300000000003</v>
      </c>
      <c r="H154" s="88">
        <v>105.6831</v>
      </c>
      <c r="I154" s="48"/>
      <c r="J154" s="88">
        <v>104.99889999999999</v>
      </c>
      <c r="K154" s="57">
        <f t="shared" si="115"/>
        <v>263.79760000000005</v>
      </c>
      <c r="L154" s="57">
        <f t="shared" si="115"/>
        <v>395.12335236400003</v>
      </c>
      <c r="N154" s="62"/>
      <c r="O154" s="62"/>
    </row>
    <row r="155" spans="2:15" s="52" customFormat="1">
      <c r="B155" s="22" t="s">
        <v>136</v>
      </c>
      <c r="C155" s="151">
        <f>1250.12/100</f>
        <v>12.501199999999999</v>
      </c>
      <c r="D155" s="88">
        <v>10.220862097000001</v>
      </c>
      <c r="E155" s="88">
        <v>10.651041194999999</v>
      </c>
      <c r="F155" s="88">
        <v>10.583</v>
      </c>
      <c r="G155" s="88">
        <f>(1344.2+20.79)/100</f>
        <v>13.649900000000001</v>
      </c>
      <c r="H155" s="88">
        <v>9.8261000000000003</v>
      </c>
      <c r="I155" s="48"/>
      <c r="J155" s="88">
        <v>11.4625</v>
      </c>
      <c r="K155" s="57">
        <f t="shared" si="115"/>
        <v>36.802141194999997</v>
      </c>
      <c r="L155" s="57">
        <f t="shared" si="115"/>
        <v>42.092462097000002</v>
      </c>
      <c r="N155" s="62"/>
      <c r="O155" s="62"/>
    </row>
    <row r="156" spans="2:15" s="52" customFormat="1">
      <c r="B156" s="22" t="s">
        <v>137</v>
      </c>
      <c r="C156" s="89">
        <f>+C157+C158+C159+C160+C161</f>
        <v>211.21839913699998</v>
      </c>
      <c r="D156" s="89">
        <f t="shared" ref="D156:L156" si="116">+D157+D158+D159+D160+D161</f>
        <v>33.641588845000001</v>
      </c>
      <c r="E156" s="89">
        <f t="shared" si="116"/>
        <v>242.97946898600003</v>
      </c>
      <c r="F156" s="89">
        <f t="shared" si="116"/>
        <v>62.126437911000004</v>
      </c>
      <c r="G156" s="89">
        <f>+G157+G158++G159+G160+G161</f>
        <v>157.28319999999999</v>
      </c>
      <c r="H156" s="89">
        <f t="shared" si="116"/>
        <v>97.005500000000012</v>
      </c>
      <c r="I156" s="57">
        <f t="shared" si="116"/>
        <v>0</v>
      </c>
      <c r="J156" s="57">
        <f t="shared" si="116"/>
        <v>127.48912061800002</v>
      </c>
      <c r="K156" s="57">
        <f t="shared" si="116"/>
        <v>611.481068123</v>
      </c>
      <c r="L156" s="57">
        <f t="shared" si="116"/>
        <v>320.26264737400004</v>
      </c>
      <c r="N156" s="62"/>
      <c r="O156" s="62"/>
    </row>
    <row r="157" spans="2:15" s="52" customFormat="1">
      <c r="B157" s="19" t="s">
        <v>138</v>
      </c>
      <c r="C157" s="48"/>
      <c r="D157" s="88"/>
      <c r="E157" s="88"/>
      <c r="F157" s="88"/>
      <c r="G157" s="88"/>
      <c r="H157" s="88"/>
      <c r="I157" s="48"/>
      <c r="J157" s="48"/>
      <c r="K157" s="57">
        <f t="shared" ref="K157:L161" si="117">C157+E157+G157+I157</f>
        <v>0</v>
      </c>
      <c r="L157" s="57">
        <f t="shared" si="117"/>
        <v>0</v>
      </c>
      <c r="N157" s="62"/>
      <c r="O157" s="62"/>
    </row>
    <row r="158" spans="2:15" s="52" customFormat="1">
      <c r="B158" s="19" t="s">
        <v>139</v>
      </c>
      <c r="C158" s="88">
        <f>1835.9751633/100</f>
        <v>18.359751633000002</v>
      </c>
      <c r="D158" s="152">
        <v>14.235612836999998</v>
      </c>
      <c r="E158" s="88">
        <v>13.463788861000001</v>
      </c>
      <c r="F158" s="88">
        <v>14.511576695000004</v>
      </c>
      <c r="G158" s="88">
        <v>21.633699999999997</v>
      </c>
      <c r="H158" s="88">
        <v>19.663399999999999</v>
      </c>
      <c r="I158" s="48"/>
      <c r="J158" s="88">
        <v>23.827320617999998</v>
      </c>
      <c r="K158" s="57">
        <f t="shared" si="117"/>
        <v>53.457240494000004</v>
      </c>
      <c r="L158" s="57">
        <f t="shared" si="117"/>
        <v>72.237910150000005</v>
      </c>
      <c r="N158" s="62"/>
      <c r="O158" s="62"/>
    </row>
    <row r="159" spans="2:15" s="52" customFormat="1">
      <c r="B159" s="19" t="s">
        <v>140</v>
      </c>
      <c r="C159" s="88">
        <f>84.25/100</f>
        <v>0.84250000000000003</v>
      </c>
      <c r="D159" s="152">
        <v>0.51877770599999995</v>
      </c>
      <c r="E159" s="88">
        <v>2.4317454229999997</v>
      </c>
      <c r="F159" s="88">
        <v>1.0574206150000003</v>
      </c>
      <c r="G159" s="88">
        <v>1.8506</v>
      </c>
      <c r="H159" s="88">
        <v>0.73349999999999993</v>
      </c>
      <c r="I159" s="48"/>
      <c r="J159" s="88">
        <v>0.93069999999999997</v>
      </c>
      <c r="K159" s="57">
        <f t="shared" si="117"/>
        <v>5.124845423</v>
      </c>
      <c r="L159" s="57">
        <f t="shared" si="117"/>
        <v>3.2403983209999998</v>
      </c>
      <c r="N159" s="62"/>
      <c r="O159" s="62"/>
    </row>
    <row r="160" spans="2:15" s="52" customFormat="1">
      <c r="B160" s="19" t="s">
        <v>141</v>
      </c>
      <c r="C160" s="88">
        <f>1033.4247504/100</f>
        <v>10.334247504</v>
      </c>
      <c r="D160" s="152">
        <v>2.5595983019999999</v>
      </c>
      <c r="E160" s="88">
        <v>8.1417347020000008</v>
      </c>
      <c r="F160" s="88">
        <v>7.5219406010000007</v>
      </c>
      <c r="G160" s="88">
        <v>14.2727</v>
      </c>
      <c r="H160" s="88">
        <v>9.2964000000000002</v>
      </c>
      <c r="I160" s="48"/>
      <c r="J160" s="88">
        <v>-4.7667000000000002</v>
      </c>
      <c r="K160" s="57">
        <f t="shared" si="117"/>
        <v>32.748682205999998</v>
      </c>
      <c r="L160" s="57">
        <f t="shared" si="117"/>
        <v>14.611238903</v>
      </c>
      <c r="N160" s="62"/>
      <c r="O160" s="62"/>
    </row>
    <row r="161" spans="2:32" s="52" customFormat="1">
      <c r="B161" s="19" t="s">
        <v>142</v>
      </c>
      <c r="C161" s="88">
        <f>18168.19/100</f>
        <v>181.68189999999998</v>
      </c>
      <c r="D161" s="152">
        <v>16.3276</v>
      </c>
      <c r="E161" s="88">
        <v>218.94220000000001</v>
      </c>
      <c r="F161" s="88">
        <v>39.035499999999999</v>
      </c>
      <c r="G161" s="88">
        <v>119.5262</v>
      </c>
      <c r="H161" s="88">
        <v>67.312200000000004</v>
      </c>
      <c r="I161" s="48"/>
      <c r="J161" s="88">
        <v>107.49780000000001</v>
      </c>
      <c r="K161" s="57">
        <f t="shared" si="117"/>
        <v>520.15030000000002</v>
      </c>
      <c r="L161" s="57">
        <f t="shared" si="117"/>
        <v>230.17310000000003</v>
      </c>
      <c r="N161" s="62"/>
      <c r="O161" s="62"/>
    </row>
    <row r="162" spans="2:32" s="52" customFormat="1">
      <c r="B162" s="38" t="s">
        <v>143</v>
      </c>
      <c r="C162" s="149">
        <f>SUM(C151:C155)+C156</f>
        <v>429.02334189999999</v>
      </c>
      <c r="D162" s="51">
        <f t="shared" ref="D162:L162" si="118">+D151+D152+D153+D154+D155+D156</f>
        <v>219.00710122600003</v>
      </c>
      <c r="E162" s="51">
        <f t="shared" si="118"/>
        <v>493.05562156300005</v>
      </c>
      <c r="F162" s="51">
        <f t="shared" si="118"/>
        <v>273.03525327699998</v>
      </c>
      <c r="G162" s="51">
        <f t="shared" si="118"/>
        <v>338.93552477699996</v>
      </c>
      <c r="H162" s="51">
        <f t="shared" si="118"/>
        <v>320.80470000000003</v>
      </c>
      <c r="I162" s="42">
        <f t="shared" si="118"/>
        <v>0</v>
      </c>
      <c r="J162" s="42">
        <f t="shared" si="118"/>
        <v>370.80153006500007</v>
      </c>
      <c r="K162" s="42">
        <f t="shared" si="118"/>
        <v>1261.01448824</v>
      </c>
      <c r="L162" s="42">
        <f t="shared" si="118"/>
        <v>1183.6485845679999</v>
      </c>
      <c r="N162" s="62"/>
      <c r="O162" s="62"/>
    </row>
    <row r="163" spans="2:32" s="52" customFormat="1">
      <c r="C163" s="63"/>
      <c r="D163" s="63"/>
      <c r="E163" s="134"/>
      <c r="F163" s="63"/>
      <c r="G163" s="134"/>
      <c r="H163" s="63"/>
      <c r="I163" s="63"/>
      <c r="J163" s="63"/>
      <c r="K163" s="63"/>
      <c r="L163" s="63"/>
      <c r="N163" s="62"/>
      <c r="O163" s="62"/>
    </row>
    <row r="164" spans="2:32" s="52" customFormat="1" ht="28.5" customHeight="1">
      <c r="B164" s="174"/>
      <c r="C164" s="174"/>
      <c r="D164" s="174"/>
      <c r="E164" s="174"/>
      <c r="F164" s="174"/>
      <c r="G164" s="174"/>
      <c r="H164" s="174"/>
      <c r="I164" s="174"/>
      <c r="J164" s="174"/>
      <c r="K164" s="174"/>
      <c r="L164" s="174"/>
      <c r="N164" s="62"/>
      <c r="O164" s="62"/>
    </row>
    <row r="165" spans="2:32" s="52" customFormat="1" ht="22.5" customHeight="1">
      <c r="C165" s="63"/>
      <c r="D165" s="63"/>
      <c r="E165" s="134"/>
      <c r="F165" s="63"/>
      <c r="G165" s="134"/>
      <c r="H165" s="63"/>
      <c r="I165" s="63"/>
      <c r="J165" s="63"/>
      <c r="K165" s="63"/>
      <c r="L165" s="63"/>
      <c r="N165" s="62"/>
      <c r="O165" s="62"/>
    </row>
    <row r="166" spans="2:32" s="52" customFormat="1" ht="24.75" customHeight="1">
      <c r="C166" s="63"/>
      <c r="D166" s="63"/>
      <c r="E166" s="134"/>
      <c r="F166" s="63"/>
      <c r="G166" s="134"/>
      <c r="H166" s="63"/>
      <c r="I166" s="63"/>
      <c r="J166" s="63"/>
      <c r="K166" s="63"/>
      <c r="L166" s="63"/>
      <c r="N166" s="62"/>
      <c r="O166" s="62"/>
    </row>
    <row r="167" spans="2:32" s="52" customFormat="1">
      <c r="C167" s="63"/>
      <c r="D167" s="63"/>
      <c r="E167" s="134"/>
      <c r="F167" s="63"/>
      <c r="G167" s="134"/>
      <c r="H167" s="63"/>
      <c r="I167" s="63"/>
      <c r="J167" s="63"/>
      <c r="K167" s="63"/>
      <c r="L167" s="63"/>
      <c r="N167" s="62"/>
      <c r="O167" s="62"/>
    </row>
    <row r="168" spans="2:32">
      <c r="N168" s="64"/>
      <c r="O168" s="64"/>
    </row>
    <row r="169" spans="2:32">
      <c r="B169" s="65" t="s">
        <v>146</v>
      </c>
      <c r="C169" s="181" t="s">
        <v>13</v>
      </c>
      <c r="D169" s="182"/>
      <c r="E169" s="182"/>
      <c r="F169" s="182"/>
      <c r="G169" s="182"/>
      <c r="H169" s="183"/>
      <c r="I169" s="181" t="s">
        <v>14</v>
      </c>
      <c r="J169" s="182"/>
      <c r="K169" s="182"/>
      <c r="L169" s="182"/>
      <c r="M169" s="182"/>
      <c r="N169" s="183"/>
      <c r="O169" s="181" t="s">
        <v>15</v>
      </c>
      <c r="P169" s="182"/>
      <c r="Q169" s="182"/>
      <c r="R169" s="182"/>
      <c r="S169" s="182"/>
      <c r="T169" s="183"/>
      <c r="U169" s="181" t="s">
        <v>16</v>
      </c>
      <c r="V169" s="182"/>
      <c r="W169" s="182"/>
      <c r="X169" s="182"/>
      <c r="Y169" s="182"/>
      <c r="Z169" s="183"/>
      <c r="AA169" s="181" t="s">
        <v>17</v>
      </c>
      <c r="AB169" s="182"/>
      <c r="AC169" s="182"/>
      <c r="AD169" s="182"/>
      <c r="AE169" s="182"/>
      <c r="AF169" s="183"/>
    </row>
    <row r="170" spans="2:32">
      <c r="B170" s="65"/>
      <c r="C170" s="181" t="str">
        <f>$B$5</f>
        <v>2024-25</v>
      </c>
      <c r="D170" s="182"/>
      <c r="E170" s="183"/>
      <c r="F170" s="181" t="str">
        <f>$B$6</f>
        <v>2023-24</v>
      </c>
      <c r="G170" s="182"/>
      <c r="H170" s="183"/>
      <c r="I170" s="181" t="str">
        <f>$B$5</f>
        <v>2024-25</v>
      </c>
      <c r="J170" s="182"/>
      <c r="K170" s="183"/>
      <c r="L170" s="181" t="str">
        <f>$B$6</f>
        <v>2023-24</v>
      </c>
      <c r="M170" s="182"/>
      <c r="N170" s="183"/>
      <c r="O170" s="181" t="str">
        <f>$B$5</f>
        <v>2024-25</v>
      </c>
      <c r="P170" s="182"/>
      <c r="Q170" s="183"/>
      <c r="R170" s="181" t="str">
        <f>$B$6</f>
        <v>2023-24</v>
      </c>
      <c r="S170" s="182"/>
      <c r="T170" s="183"/>
      <c r="U170" s="181" t="str">
        <f>$B$5</f>
        <v>2024-25</v>
      </c>
      <c r="V170" s="182"/>
      <c r="W170" s="183"/>
      <c r="X170" s="181" t="str">
        <f>$B$6</f>
        <v>2023-24</v>
      </c>
      <c r="Y170" s="182"/>
      <c r="Z170" s="183"/>
      <c r="AA170" s="181" t="str">
        <f>$B$5</f>
        <v>2024-25</v>
      </c>
      <c r="AB170" s="182"/>
      <c r="AC170" s="183"/>
      <c r="AD170" s="181" t="str">
        <f>$B$6</f>
        <v>2023-24</v>
      </c>
      <c r="AE170" s="182"/>
      <c r="AF170" s="183"/>
    </row>
    <row r="171" spans="2:32" s="72" customFormat="1" ht="64.5" customHeight="1">
      <c r="B171" s="112"/>
      <c r="C171" s="113" t="s">
        <v>147</v>
      </c>
      <c r="D171" s="113" t="s">
        <v>148</v>
      </c>
      <c r="E171" s="135" t="s">
        <v>149</v>
      </c>
      <c r="F171" s="113" t="s">
        <v>147</v>
      </c>
      <c r="G171" s="135" t="s">
        <v>148</v>
      </c>
      <c r="H171" s="113" t="s">
        <v>149</v>
      </c>
      <c r="I171" s="113" t="s">
        <v>147</v>
      </c>
      <c r="J171" s="113" t="s">
        <v>148</v>
      </c>
      <c r="K171" s="113" t="s">
        <v>149</v>
      </c>
      <c r="L171" s="114" t="s">
        <v>147</v>
      </c>
      <c r="M171" s="114" t="s">
        <v>148</v>
      </c>
      <c r="N171" s="114" t="s">
        <v>149</v>
      </c>
      <c r="O171" s="113" t="s">
        <v>147</v>
      </c>
      <c r="P171" s="113" t="s">
        <v>148</v>
      </c>
      <c r="Q171" s="113" t="s">
        <v>149</v>
      </c>
      <c r="R171" s="114" t="s">
        <v>147</v>
      </c>
      <c r="S171" s="114" t="s">
        <v>148</v>
      </c>
      <c r="T171" s="114" t="s">
        <v>149</v>
      </c>
      <c r="U171" s="113" t="s">
        <v>147</v>
      </c>
      <c r="V171" s="113" t="s">
        <v>148</v>
      </c>
      <c r="W171" s="113" t="s">
        <v>149</v>
      </c>
      <c r="X171" s="114" t="s">
        <v>147</v>
      </c>
      <c r="Y171" s="114" t="s">
        <v>148</v>
      </c>
      <c r="Z171" s="114" t="s">
        <v>149</v>
      </c>
      <c r="AA171" s="113" t="s">
        <v>147</v>
      </c>
      <c r="AB171" s="113" t="s">
        <v>148</v>
      </c>
      <c r="AC171" s="113" t="s">
        <v>149</v>
      </c>
      <c r="AD171" s="114" t="s">
        <v>147</v>
      </c>
      <c r="AE171" s="114" t="s">
        <v>148</v>
      </c>
      <c r="AF171" s="114" t="s">
        <v>149</v>
      </c>
    </row>
    <row r="172" spans="2:32" s="72" customFormat="1">
      <c r="B172" s="115" t="s">
        <v>150</v>
      </c>
      <c r="C172" s="116">
        <f>C151</f>
        <v>81.503799999999998</v>
      </c>
      <c r="D172" s="117"/>
      <c r="E172" s="136"/>
      <c r="F172" s="116">
        <f>D151</f>
        <v>66.799771394999993</v>
      </c>
      <c r="G172" s="136"/>
      <c r="H172" s="117"/>
      <c r="I172" s="117">
        <f>E151</f>
        <v>72.337406252999997</v>
      </c>
      <c r="J172" s="117"/>
      <c r="K172" s="117"/>
      <c r="L172" s="116">
        <f>F151</f>
        <v>71.515903008999985</v>
      </c>
      <c r="M172" s="117"/>
      <c r="N172" s="117"/>
      <c r="O172" s="167">
        <f>G151</f>
        <v>89.102840942</v>
      </c>
      <c r="P172" s="117"/>
      <c r="Q172" s="117"/>
      <c r="R172" s="116">
        <f>H151</f>
        <v>78.130200000000002</v>
      </c>
      <c r="S172" s="117"/>
      <c r="T172" s="117"/>
      <c r="U172" s="117"/>
      <c r="V172" s="117"/>
      <c r="W172" s="117"/>
      <c r="X172" s="116">
        <f>J151</f>
        <v>92.868829896999998</v>
      </c>
      <c r="Y172" s="117"/>
      <c r="Z172" s="117"/>
      <c r="AA172" s="118">
        <f>C172+I172++O172+U172</f>
        <v>242.944047195</v>
      </c>
      <c r="AB172" s="118">
        <f t="shared" ref="AB172:AD176" si="119">D172+J172++P172+V172</f>
        <v>0</v>
      </c>
      <c r="AC172" s="118">
        <f t="shared" si="119"/>
        <v>0</v>
      </c>
      <c r="AD172" s="118">
        <f>F172+L172++R172+X172</f>
        <v>309.31470430100001</v>
      </c>
      <c r="AE172" s="118">
        <f t="shared" ref="AE172:AF176" si="120">G172+M172++S172+Y172</f>
        <v>0</v>
      </c>
      <c r="AF172" s="118">
        <f t="shared" si="120"/>
        <v>0</v>
      </c>
    </row>
    <row r="173" spans="2:32" s="72" customFormat="1">
      <c r="B173" s="115" t="s">
        <v>151</v>
      </c>
      <c r="C173" s="116">
        <f>C152</f>
        <v>34.619999999999997</v>
      </c>
      <c r="D173" s="117"/>
      <c r="E173" s="136"/>
      <c r="F173" s="116">
        <f t="shared" ref="F173:F176" si="121">D152</f>
        <v>24.965870845999998</v>
      </c>
      <c r="G173" s="136"/>
      <c r="H173" s="117"/>
      <c r="I173" s="117">
        <f>E152</f>
        <v>39.021881064999995</v>
      </c>
      <c r="J173" s="117"/>
      <c r="K173" s="117"/>
      <c r="L173" s="116">
        <f t="shared" ref="L173:L177" si="122">F152</f>
        <v>27.728212357000004</v>
      </c>
      <c r="M173" s="117"/>
      <c r="N173" s="117"/>
      <c r="O173" s="167">
        <f t="shared" ref="O173:O182" si="123">G152</f>
        <v>32.306609245000004</v>
      </c>
      <c r="P173" s="117"/>
      <c r="Q173" s="117"/>
      <c r="R173" s="116">
        <f t="shared" ref="R173:R182" si="124">H152</f>
        <v>30.151</v>
      </c>
      <c r="S173" s="117"/>
      <c r="T173" s="117"/>
      <c r="U173" s="117"/>
      <c r="V173" s="117"/>
      <c r="W173" s="117"/>
      <c r="X173" s="116">
        <f t="shared" ref="X173:X182" si="125">J152</f>
        <v>33.972264465000002</v>
      </c>
      <c r="Y173" s="117"/>
      <c r="Z173" s="117"/>
      <c r="AA173" s="118">
        <f t="shared" ref="AA173:AA176" si="126">C173+I173++O173+U173</f>
        <v>105.94849031</v>
      </c>
      <c r="AB173" s="118">
        <f t="shared" si="119"/>
        <v>0</v>
      </c>
      <c r="AC173" s="118">
        <f t="shared" si="119"/>
        <v>0</v>
      </c>
      <c r="AD173" s="118">
        <f t="shared" si="119"/>
        <v>116.817347668</v>
      </c>
      <c r="AE173" s="118">
        <f t="shared" si="120"/>
        <v>0</v>
      </c>
      <c r="AF173" s="118">
        <f t="shared" si="120"/>
        <v>0</v>
      </c>
    </row>
    <row r="174" spans="2:32" s="72" customFormat="1">
      <c r="B174" s="115" t="s">
        <v>152</v>
      </c>
      <c r="C174" s="116">
        <f>C153</f>
        <v>1.4542763E-2</v>
      </c>
      <c r="D174" s="117"/>
      <c r="E174" s="136"/>
      <c r="F174" s="116">
        <f t="shared" si="121"/>
        <v>9.6556789999999986E-3</v>
      </c>
      <c r="G174" s="136"/>
      <c r="H174" s="117"/>
      <c r="I174" s="117">
        <f>E153</f>
        <v>1.2924063999999999E-2</v>
      </c>
      <c r="J174" s="117"/>
      <c r="K174" s="117"/>
      <c r="L174" s="116">
        <f t="shared" si="122"/>
        <v>9.7000000000000003E-3</v>
      </c>
      <c r="M174" s="117"/>
      <c r="N174" s="117"/>
      <c r="O174" s="167">
        <f t="shared" si="123"/>
        <v>1.3674590000000002E-2</v>
      </c>
      <c r="P174" s="117"/>
      <c r="Q174" s="117"/>
      <c r="R174" s="116">
        <f t="shared" si="124"/>
        <v>8.8000000000000005E-3</v>
      </c>
      <c r="S174" s="117"/>
      <c r="T174" s="117"/>
      <c r="U174" s="117"/>
      <c r="V174" s="117"/>
      <c r="W174" s="117"/>
      <c r="X174" s="116">
        <f t="shared" si="125"/>
        <v>9.9150850000000006E-3</v>
      </c>
      <c r="Y174" s="117"/>
      <c r="Z174" s="117"/>
      <c r="AA174" s="118">
        <f t="shared" si="126"/>
        <v>4.1141417E-2</v>
      </c>
      <c r="AB174" s="118">
        <f t="shared" si="119"/>
        <v>0</v>
      </c>
      <c r="AC174" s="118">
        <f t="shared" si="119"/>
        <v>0</v>
      </c>
      <c r="AD174" s="118">
        <f t="shared" si="119"/>
        <v>3.8070764000000007E-2</v>
      </c>
      <c r="AE174" s="118">
        <f t="shared" si="120"/>
        <v>0</v>
      </c>
      <c r="AF174" s="118">
        <f t="shared" si="120"/>
        <v>0</v>
      </c>
    </row>
    <row r="175" spans="2:32" s="72" customFormat="1">
      <c r="B175" s="115" t="s">
        <v>153</v>
      </c>
      <c r="C175" s="116">
        <f>C154</f>
        <v>89.165400000000005</v>
      </c>
      <c r="D175" s="117"/>
      <c r="E175" s="136"/>
      <c r="F175" s="116">
        <f t="shared" si="121"/>
        <v>83.369352364000008</v>
      </c>
      <c r="G175" s="136"/>
      <c r="H175" s="117"/>
      <c r="I175" s="117">
        <f>E154</f>
        <v>128.05290000000002</v>
      </c>
      <c r="J175" s="117"/>
      <c r="K175" s="117"/>
      <c r="L175" s="116">
        <f t="shared" si="122"/>
        <v>101.072</v>
      </c>
      <c r="M175" s="117"/>
      <c r="N175" s="117"/>
      <c r="O175" s="167">
        <f t="shared" si="123"/>
        <v>46.579300000000003</v>
      </c>
      <c r="P175" s="117"/>
      <c r="Q175" s="117"/>
      <c r="R175" s="116">
        <f t="shared" si="124"/>
        <v>105.6831</v>
      </c>
      <c r="S175" s="117"/>
      <c r="T175" s="117"/>
      <c r="U175" s="117"/>
      <c r="V175" s="117"/>
      <c r="W175" s="117"/>
      <c r="X175" s="116">
        <f t="shared" si="125"/>
        <v>104.99889999999999</v>
      </c>
      <c r="Y175" s="117"/>
      <c r="Z175" s="117"/>
      <c r="AA175" s="118">
        <f t="shared" si="126"/>
        <v>263.79760000000005</v>
      </c>
      <c r="AB175" s="118">
        <f t="shared" si="119"/>
        <v>0</v>
      </c>
      <c r="AC175" s="118">
        <f t="shared" si="119"/>
        <v>0</v>
      </c>
      <c r="AD175" s="118">
        <f t="shared" si="119"/>
        <v>395.12335236400003</v>
      </c>
      <c r="AE175" s="118">
        <f t="shared" si="120"/>
        <v>0</v>
      </c>
      <c r="AF175" s="118">
        <f t="shared" si="120"/>
        <v>0</v>
      </c>
    </row>
    <row r="176" spans="2:32" s="72" customFormat="1">
      <c r="B176" s="115" t="s">
        <v>154</v>
      </c>
      <c r="C176" s="116">
        <f>C155</f>
        <v>12.501199999999999</v>
      </c>
      <c r="D176" s="117"/>
      <c r="E176" s="136"/>
      <c r="F176" s="116">
        <f t="shared" si="121"/>
        <v>10.220862097000001</v>
      </c>
      <c r="G176" s="136"/>
      <c r="H176" s="117"/>
      <c r="I176" s="117">
        <f>E155</f>
        <v>10.651041194999999</v>
      </c>
      <c r="J176" s="117"/>
      <c r="K176" s="117"/>
      <c r="L176" s="116">
        <f t="shared" si="122"/>
        <v>10.583</v>
      </c>
      <c r="M176" s="117"/>
      <c r="N176" s="117"/>
      <c r="O176" s="167">
        <f t="shared" si="123"/>
        <v>13.649900000000001</v>
      </c>
      <c r="P176" s="117"/>
      <c r="Q176" s="117"/>
      <c r="R176" s="116">
        <f t="shared" si="124"/>
        <v>9.8261000000000003</v>
      </c>
      <c r="S176" s="117"/>
      <c r="T176" s="117"/>
      <c r="U176" s="117"/>
      <c r="V176" s="117"/>
      <c r="W176" s="117"/>
      <c r="X176" s="116">
        <f t="shared" si="125"/>
        <v>11.4625</v>
      </c>
      <c r="Y176" s="117"/>
      <c r="Z176" s="117"/>
      <c r="AA176" s="118">
        <f t="shared" si="126"/>
        <v>36.802141194999997</v>
      </c>
      <c r="AB176" s="118">
        <f t="shared" si="119"/>
        <v>0</v>
      </c>
      <c r="AC176" s="118">
        <f t="shared" si="119"/>
        <v>0</v>
      </c>
      <c r="AD176" s="118">
        <f t="shared" si="119"/>
        <v>42.092462097000002</v>
      </c>
      <c r="AE176" s="118">
        <f t="shared" si="120"/>
        <v>0</v>
      </c>
      <c r="AF176" s="118">
        <f t="shared" si="120"/>
        <v>0</v>
      </c>
    </row>
    <row r="177" spans="2:32" s="72" customFormat="1">
      <c r="B177" s="115" t="s">
        <v>155</v>
      </c>
      <c r="C177" s="118">
        <f>+C178+C179++C180+C181+C182</f>
        <v>211.21839913699998</v>
      </c>
      <c r="D177" s="118">
        <f t="shared" ref="D177:AF177" si="127">+D178+D179++D180+D181+D182</f>
        <v>0</v>
      </c>
      <c r="E177" s="137">
        <f t="shared" si="127"/>
        <v>0</v>
      </c>
      <c r="F177" s="155">
        <f>+F178+F179++F180+F181+F182</f>
        <v>33.641588845000001</v>
      </c>
      <c r="G177" s="137">
        <f t="shared" si="127"/>
        <v>0</v>
      </c>
      <c r="H177" s="118">
        <f t="shared" si="127"/>
        <v>0</v>
      </c>
      <c r="I177" s="118">
        <f>SUM(I179:I182)</f>
        <v>242.97946898600003</v>
      </c>
      <c r="J177" s="118">
        <f t="shared" si="127"/>
        <v>0</v>
      </c>
      <c r="K177" s="118">
        <f t="shared" si="127"/>
        <v>0</v>
      </c>
      <c r="L177" s="116">
        <f t="shared" si="122"/>
        <v>62.126437911000004</v>
      </c>
      <c r="M177" s="118">
        <f t="shared" si="127"/>
        <v>0</v>
      </c>
      <c r="N177" s="118">
        <f t="shared" si="127"/>
        <v>0</v>
      </c>
      <c r="O177" s="167">
        <f t="shared" si="123"/>
        <v>157.28319999999999</v>
      </c>
      <c r="P177" s="118">
        <f t="shared" si="127"/>
        <v>0</v>
      </c>
      <c r="Q177" s="118">
        <f t="shared" si="127"/>
        <v>0</v>
      </c>
      <c r="R177" s="116">
        <f t="shared" si="124"/>
        <v>97.005500000000012</v>
      </c>
      <c r="S177" s="118">
        <f t="shared" si="127"/>
        <v>0</v>
      </c>
      <c r="T177" s="118">
        <f t="shared" si="127"/>
        <v>0</v>
      </c>
      <c r="U177" s="118">
        <f t="shared" si="127"/>
        <v>0</v>
      </c>
      <c r="V177" s="118">
        <f t="shared" si="127"/>
        <v>0</v>
      </c>
      <c r="W177" s="118">
        <f t="shared" si="127"/>
        <v>0</v>
      </c>
      <c r="X177" s="116">
        <f t="shared" si="125"/>
        <v>127.48912061800002</v>
      </c>
      <c r="Y177" s="118">
        <f t="shared" si="127"/>
        <v>0</v>
      </c>
      <c r="Z177" s="118">
        <f t="shared" si="127"/>
        <v>0</v>
      </c>
      <c r="AA177" s="118">
        <f t="shared" si="127"/>
        <v>1104.536689686</v>
      </c>
      <c r="AB177" s="118">
        <f t="shared" si="127"/>
        <v>0</v>
      </c>
      <c r="AC177" s="118">
        <f t="shared" si="127"/>
        <v>0</v>
      </c>
      <c r="AD177" s="118">
        <f t="shared" si="127"/>
        <v>320.26264737400004</v>
      </c>
      <c r="AE177" s="118">
        <f t="shared" si="127"/>
        <v>0</v>
      </c>
      <c r="AF177" s="118">
        <f t="shared" si="127"/>
        <v>0</v>
      </c>
    </row>
    <row r="178" spans="2:32" s="72" customFormat="1">
      <c r="B178" s="119" t="s">
        <v>138</v>
      </c>
      <c r="C178" s="117"/>
      <c r="D178" s="117"/>
      <c r="E178" s="136"/>
      <c r="F178" s="117"/>
      <c r="G178" s="136"/>
      <c r="H178" s="117"/>
      <c r="J178" s="117"/>
      <c r="K178" s="117"/>
      <c r="L178" s="117"/>
      <c r="M178" s="117"/>
      <c r="N178" s="117"/>
      <c r="O178" s="167">
        <f t="shared" si="123"/>
        <v>0</v>
      </c>
      <c r="P178" s="117"/>
      <c r="Q178" s="117"/>
      <c r="R178" s="116">
        <f t="shared" si="124"/>
        <v>0</v>
      </c>
      <c r="S178" s="117"/>
      <c r="T178" s="117"/>
      <c r="U178" s="117"/>
      <c r="V178" s="117"/>
      <c r="W178" s="117"/>
      <c r="X178" s="116">
        <f t="shared" si="125"/>
        <v>0</v>
      </c>
      <c r="Y178" s="117"/>
      <c r="Z178" s="117"/>
      <c r="AA178" s="118">
        <f>C178+I179++O178+U178</f>
        <v>13.463788861000001</v>
      </c>
      <c r="AB178" s="118">
        <f t="shared" ref="AB178:AF182" si="128">D178+J178++P178+V178</f>
        <v>0</v>
      </c>
      <c r="AC178" s="118">
        <f t="shared" si="128"/>
        <v>0</v>
      </c>
      <c r="AD178" s="118">
        <f t="shared" si="128"/>
        <v>0</v>
      </c>
      <c r="AE178" s="118">
        <f t="shared" si="128"/>
        <v>0</v>
      </c>
      <c r="AF178" s="118">
        <f t="shared" si="128"/>
        <v>0</v>
      </c>
    </row>
    <row r="179" spans="2:32" s="72" customFormat="1">
      <c r="B179" s="119" t="s">
        <v>139</v>
      </c>
      <c r="C179" s="116">
        <f>C158</f>
        <v>18.359751633000002</v>
      </c>
      <c r="D179" s="117"/>
      <c r="E179" s="136"/>
      <c r="F179" s="116">
        <f>D158</f>
        <v>14.235612836999998</v>
      </c>
      <c r="G179" s="136"/>
      <c r="H179" s="117"/>
      <c r="I179" s="117">
        <f>E158</f>
        <v>13.463788861000001</v>
      </c>
      <c r="J179" s="117"/>
      <c r="K179" s="117"/>
      <c r="L179" s="116">
        <f>F158</f>
        <v>14.511576695000004</v>
      </c>
      <c r="M179" s="117"/>
      <c r="N179" s="117"/>
      <c r="O179" s="167">
        <f t="shared" si="123"/>
        <v>21.633699999999997</v>
      </c>
      <c r="P179" s="117"/>
      <c r="Q179" s="117"/>
      <c r="R179" s="116">
        <f t="shared" si="124"/>
        <v>19.663399999999999</v>
      </c>
      <c r="S179" s="117"/>
      <c r="T179" s="117"/>
      <c r="U179" s="117"/>
      <c r="V179" s="117"/>
      <c r="W179" s="117"/>
      <c r="X179" s="116">
        <f t="shared" si="125"/>
        <v>23.827320617999998</v>
      </c>
      <c r="Y179" s="117"/>
      <c r="Z179" s="117"/>
      <c r="AA179" s="118">
        <f>C179+I180++O179+U179</f>
        <v>42.425197056000002</v>
      </c>
      <c r="AB179" s="118">
        <f t="shared" si="128"/>
        <v>0</v>
      </c>
      <c r="AC179" s="118">
        <f t="shared" si="128"/>
        <v>0</v>
      </c>
      <c r="AD179" s="118">
        <f t="shared" si="128"/>
        <v>72.237910150000005</v>
      </c>
      <c r="AE179" s="118">
        <f t="shared" si="128"/>
        <v>0</v>
      </c>
      <c r="AF179" s="118">
        <f t="shared" si="128"/>
        <v>0</v>
      </c>
    </row>
    <row r="180" spans="2:32" s="72" customFormat="1">
      <c r="B180" s="119" t="s">
        <v>140</v>
      </c>
      <c r="C180" s="116">
        <f>C159</f>
        <v>0.84250000000000003</v>
      </c>
      <c r="D180" s="117"/>
      <c r="E180" s="136"/>
      <c r="F180" s="116">
        <f t="shared" ref="F180:F182" si="129">D159</f>
        <v>0.51877770599999995</v>
      </c>
      <c r="G180" s="136"/>
      <c r="H180" s="117"/>
      <c r="I180" s="117">
        <f>E159</f>
        <v>2.4317454229999997</v>
      </c>
      <c r="J180" s="117"/>
      <c r="K180" s="117"/>
      <c r="L180" s="116">
        <f t="shared" ref="L180:L182" si="130">F159</f>
        <v>1.0574206150000003</v>
      </c>
      <c r="M180" s="117"/>
      <c r="N180" s="117"/>
      <c r="O180" s="167">
        <f t="shared" si="123"/>
        <v>1.8506</v>
      </c>
      <c r="P180" s="117"/>
      <c r="Q180" s="117"/>
      <c r="R180" s="116">
        <f t="shared" si="124"/>
        <v>0.73349999999999993</v>
      </c>
      <c r="S180" s="117"/>
      <c r="T180" s="117"/>
      <c r="U180" s="117"/>
      <c r="V180" s="117"/>
      <c r="W180" s="117"/>
      <c r="X180" s="116">
        <f t="shared" si="125"/>
        <v>0.93069999999999997</v>
      </c>
      <c r="Y180" s="117"/>
      <c r="Z180" s="117"/>
      <c r="AA180" s="118">
        <f>C180+I181++O180+U180</f>
        <v>10.834834702</v>
      </c>
      <c r="AB180" s="118">
        <f t="shared" si="128"/>
        <v>0</v>
      </c>
      <c r="AC180" s="118">
        <f t="shared" si="128"/>
        <v>0</v>
      </c>
      <c r="AD180" s="118">
        <f t="shared" si="128"/>
        <v>3.2403983209999998</v>
      </c>
      <c r="AE180" s="118">
        <f t="shared" si="128"/>
        <v>0</v>
      </c>
      <c r="AF180" s="118">
        <f t="shared" si="128"/>
        <v>0</v>
      </c>
    </row>
    <row r="181" spans="2:32" s="72" customFormat="1">
      <c r="B181" s="119" t="s">
        <v>141</v>
      </c>
      <c r="C181" s="116">
        <f>C160</f>
        <v>10.334247504</v>
      </c>
      <c r="D181" s="117"/>
      <c r="E181" s="136"/>
      <c r="F181" s="116">
        <f t="shared" si="129"/>
        <v>2.5595983019999999</v>
      </c>
      <c r="G181" s="136"/>
      <c r="H181" s="117"/>
      <c r="I181" s="117">
        <f>E160</f>
        <v>8.1417347020000008</v>
      </c>
      <c r="J181" s="117"/>
      <c r="K181" s="117"/>
      <c r="L181" s="116">
        <f t="shared" si="130"/>
        <v>7.5219406010000007</v>
      </c>
      <c r="M181" s="117"/>
      <c r="N181" s="117"/>
      <c r="O181" s="167">
        <f t="shared" si="123"/>
        <v>14.2727</v>
      </c>
      <c r="P181" s="117"/>
      <c r="Q181" s="117"/>
      <c r="R181" s="116">
        <f t="shared" si="124"/>
        <v>9.2964000000000002</v>
      </c>
      <c r="S181" s="117"/>
      <c r="T181" s="117"/>
      <c r="U181" s="117"/>
      <c r="V181" s="117"/>
      <c r="W181" s="117"/>
      <c r="X181" s="116">
        <f t="shared" si="125"/>
        <v>-4.7667000000000002</v>
      </c>
      <c r="Y181" s="117"/>
      <c r="Z181" s="117"/>
      <c r="AA181" s="118">
        <f>C181+I182++O181+U181</f>
        <v>243.54914750400002</v>
      </c>
      <c r="AB181" s="118">
        <f t="shared" si="128"/>
        <v>0</v>
      </c>
      <c r="AC181" s="118">
        <f t="shared" si="128"/>
        <v>0</v>
      </c>
      <c r="AD181" s="118">
        <f t="shared" si="128"/>
        <v>14.611238903</v>
      </c>
      <c r="AE181" s="118">
        <f t="shared" si="128"/>
        <v>0</v>
      </c>
      <c r="AF181" s="118">
        <f t="shared" si="128"/>
        <v>0</v>
      </c>
    </row>
    <row r="182" spans="2:32" s="72" customFormat="1">
      <c r="B182" s="119" t="s">
        <v>142</v>
      </c>
      <c r="C182" s="116">
        <f>C161</f>
        <v>181.68189999999998</v>
      </c>
      <c r="D182" s="117"/>
      <c r="E182" s="136"/>
      <c r="F182" s="116">
        <f t="shared" si="129"/>
        <v>16.3276</v>
      </c>
      <c r="G182" s="136"/>
      <c r="H182" s="117"/>
      <c r="I182" s="117">
        <f>E161</f>
        <v>218.94220000000001</v>
      </c>
      <c r="J182" s="117"/>
      <c r="K182" s="117"/>
      <c r="L182" s="116">
        <f t="shared" si="130"/>
        <v>39.035499999999999</v>
      </c>
      <c r="M182" s="117"/>
      <c r="N182" s="117"/>
      <c r="O182" s="167">
        <f t="shared" si="123"/>
        <v>119.5262</v>
      </c>
      <c r="P182" s="117"/>
      <c r="Q182" s="117"/>
      <c r="R182" s="116">
        <f t="shared" si="124"/>
        <v>67.312200000000004</v>
      </c>
      <c r="S182" s="117"/>
      <c r="T182" s="117"/>
      <c r="U182" s="117"/>
      <c r="V182" s="117"/>
      <c r="W182" s="117"/>
      <c r="X182" s="116">
        <f t="shared" si="125"/>
        <v>107.49780000000001</v>
      </c>
      <c r="Y182" s="117"/>
      <c r="Z182" s="117"/>
      <c r="AA182" s="118">
        <f>C182+I183++O182+U182</f>
        <v>794.26372156299999</v>
      </c>
      <c r="AB182" s="118">
        <f t="shared" si="128"/>
        <v>0</v>
      </c>
      <c r="AC182" s="118">
        <f t="shared" si="128"/>
        <v>0</v>
      </c>
      <c r="AD182" s="118">
        <f t="shared" si="128"/>
        <v>230.17310000000003</v>
      </c>
      <c r="AE182" s="118">
        <f t="shared" si="128"/>
        <v>0</v>
      </c>
      <c r="AF182" s="118">
        <f t="shared" si="128"/>
        <v>0</v>
      </c>
    </row>
    <row r="183" spans="2:32" s="122" customFormat="1">
      <c r="B183" s="120" t="s">
        <v>156</v>
      </c>
      <c r="C183" s="159">
        <f t="shared" ref="C183:AF183" si="131">SUM(C172:C177)</f>
        <v>429.02334189999999</v>
      </c>
      <c r="D183" s="121">
        <f t="shared" si="131"/>
        <v>0</v>
      </c>
      <c r="E183" s="138">
        <f t="shared" si="131"/>
        <v>0</v>
      </c>
      <c r="F183" s="159">
        <f t="shared" si="131"/>
        <v>219.00710122600003</v>
      </c>
      <c r="G183" s="138">
        <f t="shared" si="131"/>
        <v>0</v>
      </c>
      <c r="H183" s="121">
        <f t="shared" si="131"/>
        <v>0</v>
      </c>
      <c r="I183" s="121">
        <f t="shared" si="131"/>
        <v>493.05562156300005</v>
      </c>
      <c r="J183" s="121">
        <f t="shared" si="131"/>
        <v>0</v>
      </c>
      <c r="K183" s="121">
        <f t="shared" si="131"/>
        <v>0</v>
      </c>
      <c r="L183" s="159">
        <f>SUM(L172:L177)</f>
        <v>273.03525327699998</v>
      </c>
      <c r="M183" s="121">
        <f t="shared" si="131"/>
        <v>0</v>
      </c>
      <c r="N183" s="121">
        <f t="shared" si="131"/>
        <v>0</v>
      </c>
      <c r="O183" s="168">
        <f t="shared" si="131"/>
        <v>338.93552477699996</v>
      </c>
      <c r="P183" s="121">
        <f t="shared" si="131"/>
        <v>0</v>
      </c>
      <c r="Q183" s="121">
        <f t="shared" si="131"/>
        <v>0</v>
      </c>
      <c r="R183" s="159">
        <f t="shared" si="131"/>
        <v>320.80470000000003</v>
      </c>
      <c r="S183" s="121">
        <f t="shared" si="131"/>
        <v>0</v>
      </c>
      <c r="T183" s="121">
        <f t="shared" si="131"/>
        <v>0</v>
      </c>
      <c r="U183" s="121">
        <f t="shared" si="131"/>
        <v>0</v>
      </c>
      <c r="V183" s="121">
        <f t="shared" si="131"/>
        <v>0</v>
      </c>
      <c r="W183" s="121">
        <f t="shared" si="131"/>
        <v>0</v>
      </c>
      <c r="X183" s="121">
        <f t="shared" si="131"/>
        <v>370.80153006500007</v>
      </c>
      <c r="Y183" s="121">
        <f t="shared" si="131"/>
        <v>0</v>
      </c>
      <c r="Z183" s="121">
        <f t="shared" si="131"/>
        <v>0</v>
      </c>
      <c r="AA183" s="121">
        <f t="shared" si="131"/>
        <v>1754.0701098029999</v>
      </c>
      <c r="AB183" s="121">
        <f t="shared" si="131"/>
        <v>0</v>
      </c>
      <c r="AC183" s="121">
        <f t="shared" si="131"/>
        <v>0</v>
      </c>
      <c r="AD183" s="121">
        <f t="shared" si="131"/>
        <v>1183.6485845679999</v>
      </c>
      <c r="AE183" s="121">
        <f t="shared" si="131"/>
        <v>0</v>
      </c>
      <c r="AF183" s="121">
        <f t="shared" si="131"/>
        <v>0</v>
      </c>
    </row>
    <row r="184" spans="2:32">
      <c r="N184" s="64"/>
      <c r="O184" s="64"/>
    </row>
    <row r="185" spans="2:32">
      <c r="N185" s="64"/>
      <c r="O185" s="64"/>
    </row>
    <row r="186" spans="2:32">
      <c r="B186" s="14" t="s">
        <v>157</v>
      </c>
      <c r="C186" s="184" t="s">
        <v>13</v>
      </c>
      <c r="D186" s="185"/>
      <c r="E186" s="184" t="s">
        <v>14</v>
      </c>
      <c r="F186" s="185"/>
      <c r="G186" s="184" t="s">
        <v>15</v>
      </c>
      <c r="H186" s="185"/>
      <c r="I186" s="184" t="s">
        <v>16</v>
      </c>
      <c r="J186" s="185"/>
      <c r="K186" s="186" t="s">
        <v>17</v>
      </c>
      <c r="L186" s="187"/>
    </row>
    <row r="187" spans="2:32">
      <c r="B187" s="14"/>
      <c r="C187" s="15" t="str">
        <f t="shared" ref="C187:K187" si="132">$B$5</f>
        <v>2024-25</v>
      </c>
      <c r="D187" s="15" t="str">
        <f t="shared" ref="D187:L187" si="133">$B$6</f>
        <v>2023-24</v>
      </c>
      <c r="E187" s="124" t="str">
        <f t="shared" si="132"/>
        <v>2024-25</v>
      </c>
      <c r="F187" s="15" t="str">
        <f t="shared" si="133"/>
        <v>2023-24</v>
      </c>
      <c r="G187" s="124" t="str">
        <f t="shared" si="132"/>
        <v>2024-25</v>
      </c>
      <c r="H187" s="15" t="str">
        <f t="shared" si="133"/>
        <v>2023-24</v>
      </c>
      <c r="I187" s="15" t="str">
        <f t="shared" si="132"/>
        <v>2024-25</v>
      </c>
      <c r="J187" s="15" t="str">
        <f t="shared" si="133"/>
        <v>2023-24</v>
      </c>
      <c r="K187" s="15" t="str">
        <f t="shared" si="132"/>
        <v>2024-25</v>
      </c>
      <c r="L187" s="15" t="str">
        <f t="shared" si="133"/>
        <v>2023-24</v>
      </c>
    </row>
    <row r="188" spans="2:32">
      <c r="B188" s="14"/>
      <c r="C188" s="66" t="s">
        <v>158</v>
      </c>
      <c r="D188" s="66" t="s">
        <v>158</v>
      </c>
      <c r="E188" s="139" t="s">
        <v>158</v>
      </c>
      <c r="F188" s="66" t="s">
        <v>158</v>
      </c>
      <c r="G188" s="139" t="s">
        <v>158</v>
      </c>
      <c r="H188" s="66" t="s">
        <v>158</v>
      </c>
      <c r="I188" s="66" t="s">
        <v>158</v>
      </c>
      <c r="J188" s="66" t="s">
        <v>158</v>
      </c>
      <c r="K188" s="66" t="s">
        <v>158</v>
      </c>
      <c r="L188" s="66" t="s">
        <v>158</v>
      </c>
    </row>
    <row r="189" spans="2:32">
      <c r="B189" s="22" t="s">
        <v>159</v>
      </c>
      <c r="C189" s="171">
        <v>437.92770090099998</v>
      </c>
      <c r="D189" s="171">
        <v>384.59119561425001</v>
      </c>
      <c r="E189" s="175">
        <v>404.41</v>
      </c>
      <c r="F189" s="171">
        <v>513.06699734100005</v>
      </c>
      <c r="G189" s="178">
        <v>425.81260878900002</v>
      </c>
      <c r="H189" s="171">
        <v>421.82586808899998</v>
      </c>
      <c r="I189" s="171"/>
      <c r="J189" s="171">
        <v>422.67531978699998</v>
      </c>
      <c r="K189" s="89">
        <f>C189+E189+G189+I189</f>
        <v>1268.1503096900001</v>
      </c>
      <c r="L189" s="57">
        <f>D189+F189+H189+J189</f>
        <v>1742.1593808312502</v>
      </c>
    </row>
    <row r="190" spans="2:32">
      <c r="B190" s="22" t="s">
        <v>160</v>
      </c>
      <c r="C190" s="172"/>
      <c r="D190" s="172"/>
      <c r="E190" s="176"/>
      <c r="F190" s="172"/>
      <c r="G190" s="179"/>
      <c r="H190" s="172"/>
      <c r="I190" s="172"/>
      <c r="J190" s="172"/>
      <c r="K190" s="57">
        <f t="shared" ref="K190:L191" si="134">C190+E190+G190+I190</f>
        <v>0</v>
      </c>
      <c r="L190" s="57">
        <f t="shared" si="134"/>
        <v>0</v>
      </c>
    </row>
    <row r="191" spans="2:32">
      <c r="B191" s="22" t="s">
        <v>161</v>
      </c>
      <c r="C191" s="173"/>
      <c r="D191" s="173"/>
      <c r="E191" s="177"/>
      <c r="F191" s="173"/>
      <c r="G191" s="180"/>
      <c r="H191" s="173"/>
      <c r="I191" s="173"/>
      <c r="J191" s="173"/>
      <c r="K191" s="57">
        <f t="shared" si="134"/>
        <v>0</v>
      </c>
      <c r="L191" s="57">
        <f t="shared" si="134"/>
        <v>0</v>
      </c>
    </row>
    <row r="192" spans="2:32" s="52" customFormat="1">
      <c r="B192" s="38" t="s">
        <v>162</v>
      </c>
      <c r="C192" s="42">
        <f>+C189+C190+C191</f>
        <v>437.92770090099998</v>
      </c>
      <c r="D192" s="42">
        <f t="shared" ref="D192:F192" si="135">+D189+D190+D191</f>
        <v>384.59119561425001</v>
      </c>
      <c r="E192" s="111">
        <f>+E189+E190+E191</f>
        <v>404.41</v>
      </c>
      <c r="F192" s="42">
        <f t="shared" si="135"/>
        <v>513.06699734100005</v>
      </c>
      <c r="G192" s="111">
        <f>+G189+G190+G191</f>
        <v>425.81260878900002</v>
      </c>
      <c r="H192" s="42">
        <f t="shared" ref="H192" si="136">+H189+H190+H191</f>
        <v>421.82586808899998</v>
      </c>
      <c r="I192" s="42">
        <f>+I189+I190+I191</f>
        <v>0</v>
      </c>
      <c r="J192" s="42">
        <f t="shared" ref="J192" si="137">+J189+J190+J191</f>
        <v>422.67531978699998</v>
      </c>
      <c r="K192" s="42">
        <f>+K189+K190+K191</f>
        <v>1268.1503096900001</v>
      </c>
      <c r="L192" s="42">
        <f t="shared" ref="L192" si="138">+L189+L190+L191</f>
        <v>1742.1593808312502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s="52" customFormat="1">
      <c r="E193" s="140"/>
      <c r="G193" s="140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s="52" customFormat="1">
      <c r="E194" s="140"/>
      <c r="G194" s="140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29.25" customHeight="1">
      <c r="A195" s="67" t="s">
        <v>145</v>
      </c>
      <c r="B195" s="174" t="s">
        <v>163</v>
      </c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  <c r="N195" s="64"/>
      <c r="O195" s="64"/>
    </row>
    <row r="197" spans="1:22">
      <c r="C197" s="3">
        <v>384.59119561425001</v>
      </c>
      <c r="E197" s="10">
        <v>513.06699734100005</v>
      </c>
      <c r="G197" s="10">
        <v>421.82586808899998</v>
      </c>
    </row>
    <row r="203" spans="1:22" hidden="1">
      <c r="B203" s="3" t="s">
        <v>164</v>
      </c>
      <c r="C203" s="68">
        <f>IF(ISBLANK(C109),"",C109)</f>
        <v>681.78</v>
      </c>
      <c r="D203" s="68"/>
      <c r="E203" s="141">
        <f>IF(ISBLANK(E109),"",E109)</f>
        <v>716.5</v>
      </c>
      <c r="F203" s="68"/>
      <c r="G203" s="141">
        <f>IF(ISBLANK(G109),"",G109)</f>
        <v>751.21</v>
      </c>
      <c r="H203" s="68"/>
      <c r="I203" s="68" t="str">
        <f>IF(ISBLANK(I109),"",I109)</f>
        <v/>
      </c>
      <c r="J203" s="68"/>
      <c r="K203" s="45">
        <f>LOOKUP(2,1/(C203:J203&lt;&gt;""),C203:J203)</f>
        <v>751.21</v>
      </c>
    </row>
    <row r="204" spans="1:22" hidden="1">
      <c r="B204" s="3" t="s">
        <v>5</v>
      </c>
      <c r="C204" s="45"/>
      <c r="D204" s="68">
        <f>IF(ISBLANK(D109),"",D109)</f>
        <v>905.31</v>
      </c>
      <c r="F204" s="68">
        <f>IF(ISBLANK(F109),"",F109)</f>
        <v>871.51</v>
      </c>
      <c r="H204" s="68">
        <f>IF(ISBLANK(H109),"",H109)</f>
        <v>836.02</v>
      </c>
      <c r="I204" s="45"/>
      <c r="J204" s="68">
        <f>IF(ISBLANK(J109),"",J109)</f>
        <v>885.5</v>
      </c>
      <c r="K204" s="45">
        <f>LOOKUP(2,1/(C204:J204&lt;&gt;""),C204:J204)</f>
        <v>885.5</v>
      </c>
    </row>
    <row r="205" spans="1:22" hidden="1">
      <c r="B205" s="3" t="s">
        <v>2</v>
      </c>
      <c r="C205" s="68">
        <f>IF(C110=0,"",C110)</f>
        <v>716.5</v>
      </c>
      <c r="E205" s="141">
        <f>IF(E110=0,"",E110)</f>
        <v>751.21</v>
      </c>
      <c r="G205" s="141">
        <f>IF(G110=0,"",G110)</f>
        <v>770.465530801</v>
      </c>
      <c r="I205" s="68" t="str">
        <f>IF(I110=0,"",I110)</f>
        <v/>
      </c>
      <c r="K205" s="45">
        <f>LOOKUP(2,1/(C205:J205&lt;&gt;""),C205:J205)</f>
        <v>770.465530801</v>
      </c>
    </row>
    <row r="206" spans="1:22" hidden="1">
      <c r="C206"/>
      <c r="D206" s="68">
        <f>IF(D110=0,"",D110)</f>
        <v>875.51</v>
      </c>
      <c r="F206" s="68">
        <f>IF(F110=0,"",F110)</f>
        <v>836.02</v>
      </c>
      <c r="H206" s="68">
        <f>IF(H110=0,"",H110)</f>
        <v>885.51</v>
      </c>
      <c r="J206" s="68">
        <f>IF(J110=0,"",J110)</f>
        <v>894.96</v>
      </c>
      <c r="K206" s="45">
        <f>LOOKUP(2,1/(C206:J206&lt;&gt;""),C206:J206)</f>
        <v>894.96</v>
      </c>
    </row>
    <row r="207" spans="1:22" hidden="1"/>
    <row r="208" spans="1:22" hidden="1">
      <c r="B208" s="3" t="s">
        <v>165</v>
      </c>
      <c r="C208" s="69">
        <f t="shared" ref="C208:J208" si="139">C61</f>
        <v>71649.965929199971</v>
      </c>
      <c r="D208" s="69">
        <f t="shared" si="139"/>
        <v>87150.914482699998</v>
      </c>
      <c r="E208" s="142">
        <f t="shared" si="139"/>
        <v>75121.119999999995</v>
      </c>
      <c r="F208" s="69">
        <f t="shared" si="139"/>
        <v>83602.559999999998</v>
      </c>
      <c r="G208" s="142">
        <f t="shared" si="139"/>
        <v>77046.55</v>
      </c>
      <c r="H208" s="69">
        <f t="shared" si="139"/>
        <v>88550.51</v>
      </c>
      <c r="I208" s="69">
        <f t="shared" si="139"/>
        <v>0</v>
      </c>
      <c r="J208" s="69">
        <f t="shared" si="139"/>
        <v>89496.508903399998</v>
      </c>
      <c r="K208" s="69"/>
    </row>
    <row r="209" spans="2:11" hidden="1">
      <c r="B209" s="3" t="s">
        <v>5</v>
      </c>
      <c r="C209" s="69">
        <f>IF(C208=0,"",C208)</f>
        <v>71649.965929199971</v>
      </c>
      <c r="D209" s="70"/>
      <c r="E209" s="142">
        <f t="shared" ref="E209" si="140">IF(E208=0,"",E208)</f>
        <v>75121.119999999995</v>
      </c>
      <c r="F209" s="70"/>
      <c r="G209" s="142">
        <f t="shared" ref="G209" si="141">IF(G208=0,"",G208)</f>
        <v>77046.55</v>
      </c>
      <c r="H209" s="70"/>
      <c r="I209" s="69" t="str">
        <f t="shared" ref="I209" si="142">IF(I208=0,"",I208)</f>
        <v/>
      </c>
      <c r="J209" s="70"/>
      <c r="K209" s="69">
        <f>LOOKUP(2,1/(C209:J209&lt;&gt;""),C209:J209)</f>
        <v>77046.55</v>
      </c>
    </row>
    <row r="210" spans="2:11" hidden="1">
      <c r="B210" s="3" t="s">
        <v>2</v>
      </c>
      <c r="C210" s="70"/>
      <c r="D210" s="69">
        <f>IF(D208=0,"",D208)</f>
        <v>87150.914482699998</v>
      </c>
      <c r="E210" s="141"/>
      <c r="F210" s="69">
        <f>IF(F208=0,"",F208)</f>
        <v>83602.559999999998</v>
      </c>
      <c r="G210" s="141"/>
      <c r="H210" s="69">
        <f>IF(H208=0,"",H208)</f>
        <v>88550.51</v>
      </c>
      <c r="I210" s="70"/>
      <c r="J210" s="69">
        <f>IF(J208=0,"",J208)</f>
        <v>89496.508903399998</v>
      </c>
      <c r="K210" s="69">
        <f>LOOKUP(2,1/(C210:J210&lt;&gt;""),C210:J210)</f>
        <v>89496.508903399998</v>
      </c>
    </row>
    <row r="211" spans="2:11" customFormat="1" hidden="1">
      <c r="E211" s="130"/>
      <c r="G211" s="130"/>
    </row>
    <row r="212" spans="2:11" customFormat="1" hidden="1">
      <c r="E212" s="130"/>
      <c r="G212" s="130"/>
    </row>
    <row r="213" spans="2:11" hidden="1">
      <c r="B213" s="3" t="s">
        <v>166</v>
      </c>
      <c r="C213" s="69">
        <f t="shared" ref="C213:J213" si="143">C81</f>
        <v>93767.77</v>
      </c>
      <c r="D213" s="69">
        <f t="shared" si="143"/>
        <v>96257.403409600025</v>
      </c>
      <c r="E213" s="142">
        <f t="shared" si="143"/>
        <v>113609.5107626</v>
      </c>
      <c r="F213" s="69">
        <f t="shared" si="143"/>
        <v>116821.49</v>
      </c>
      <c r="G213" s="142">
        <f t="shared" si="143"/>
        <v>92863.816839900013</v>
      </c>
      <c r="H213" s="69">
        <f t="shared" si="143"/>
        <v>123672.18</v>
      </c>
      <c r="I213" s="69">
        <f t="shared" si="143"/>
        <v>0</v>
      </c>
      <c r="J213" s="69">
        <f t="shared" si="143"/>
        <v>71357.9142039</v>
      </c>
      <c r="K213" s="69"/>
    </row>
    <row r="214" spans="2:11" hidden="1">
      <c r="B214" s="3" t="s">
        <v>5</v>
      </c>
      <c r="C214" s="69">
        <f>IF(C213=0,"",C213)</f>
        <v>93767.77</v>
      </c>
      <c r="D214" s="70"/>
      <c r="E214" s="142">
        <f t="shared" ref="E214:I214" si="144">IF(E213=0,"",E213)</f>
        <v>113609.5107626</v>
      </c>
      <c r="F214" s="70"/>
      <c r="G214" s="142">
        <f t="shared" si="144"/>
        <v>92863.816839900013</v>
      </c>
      <c r="H214" s="70"/>
      <c r="I214" s="69" t="str">
        <f t="shared" si="144"/>
        <v/>
      </c>
      <c r="J214" s="70"/>
      <c r="K214" s="69">
        <f>LOOKUP(2,1/(C214:J214&lt;&gt;""),C214:J214)</f>
        <v>92863.816839900013</v>
      </c>
    </row>
    <row r="215" spans="2:11" hidden="1">
      <c r="B215" s="3" t="s">
        <v>2</v>
      </c>
      <c r="C215" s="70"/>
      <c r="D215" s="69">
        <f>IF(D213=0,"",D213)</f>
        <v>96257.403409600025</v>
      </c>
      <c r="E215" s="141"/>
      <c r="F215" s="69">
        <f>IF(F213=0,"",F213)</f>
        <v>116821.49</v>
      </c>
      <c r="G215" s="141"/>
      <c r="H215" s="69">
        <f>IF(H213=0,"",H213)</f>
        <v>123672.18</v>
      </c>
      <c r="I215" s="70"/>
      <c r="J215" s="69">
        <f>IF(J213=0,"",J213)</f>
        <v>71357.9142039</v>
      </c>
      <c r="K215" s="69">
        <f>LOOKUP(2,1/(C215:J215&lt;&gt;""),C215:J215)</f>
        <v>71357.9142039</v>
      </c>
    </row>
    <row r="216" spans="2:11" hidden="1"/>
    <row r="217" spans="2:11" hidden="1">
      <c r="B217" s="3" t="s">
        <v>167</v>
      </c>
      <c r="C217" s="71" t="e">
        <f>C73+#REF!+#REF!</f>
        <v>#REF!</v>
      </c>
      <c r="D217" s="71" t="e">
        <f>D73+#REF!+#REF!</f>
        <v>#REF!</v>
      </c>
      <c r="E217" s="142" t="e">
        <f>E73+#REF!+#REF!</f>
        <v>#REF!</v>
      </c>
      <c r="F217" s="71" t="e">
        <f>F73+#REF!+#REF!</f>
        <v>#REF!</v>
      </c>
      <c r="G217" s="142" t="e">
        <f>G73+#REF!+#REF!</f>
        <v>#REF!</v>
      </c>
      <c r="H217" s="71" t="e">
        <f>H73+#REF!+#REF!</f>
        <v>#REF!</v>
      </c>
      <c r="I217" s="71" t="e">
        <f>I73+#REF!+#REF!</f>
        <v>#REF!</v>
      </c>
      <c r="J217" s="71" t="e">
        <f>J73+#REF!+#REF!</f>
        <v>#REF!</v>
      </c>
      <c r="K217" s="72"/>
    </row>
    <row r="218" spans="2:11" hidden="1">
      <c r="B218" s="3" t="s">
        <v>5</v>
      </c>
      <c r="C218" s="71" t="e">
        <f>IF(C217=0,"",C217)</f>
        <v>#REF!</v>
      </c>
      <c r="D218" s="70"/>
      <c r="E218" s="142" t="e">
        <f>IF(E217=0,"",E217)</f>
        <v>#REF!</v>
      </c>
      <c r="F218" s="70"/>
      <c r="G218" s="142" t="e">
        <f>IF(G217=0,"",G217)</f>
        <v>#REF!</v>
      </c>
      <c r="H218" s="70"/>
      <c r="I218" s="71" t="e">
        <f>IF(I217=0,"",I217)</f>
        <v>#REF!</v>
      </c>
      <c r="J218" s="70"/>
      <c r="K218" s="71" t="e">
        <f>LOOKUP(2,1/(C218:J218&lt;&gt;""),C218:J218)</f>
        <v>#N/A</v>
      </c>
    </row>
    <row r="219" spans="2:11" hidden="1">
      <c r="B219" s="3" t="s">
        <v>2</v>
      </c>
      <c r="D219" s="71" t="e">
        <f>IF(D217=0,"",D217)</f>
        <v>#REF!</v>
      </c>
      <c r="F219" s="71" t="e">
        <f>IF(F217=0,"",F217)</f>
        <v>#REF!</v>
      </c>
      <c r="H219" s="71" t="e">
        <f>IF(H217=0,"",H217)</f>
        <v>#REF!</v>
      </c>
      <c r="J219" s="71" t="e">
        <f>IF(J217=0,"",J217)</f>
        <v>#REF!</v>
      </c>
      <c r="K219" s="71" t="e">
        <f>LOOKUP(2,1/(C219:J219&lt;&gt;""),C219:J219)</f>
        <v>#N/A</v>
      </c>
    </row>
    <row r="220" spans="2:11" hidden="1"/>
    <row r="221" spans="2:11" hidden="1"/>
  </sheetData>
  <mergeCells count="63">
    <mergeCell ref="D2:H2"/>
    <mergeCell ref="H9:L9"/>
    <mergeCell ref="C11:D11"/>
    <mergeCell ref="E11:F11"/>
    <mergeCell ref="G11:H11"/>
    <mergeCell ref="I11:J11"/>
    <mergeCell ref="K11:L11"/>
    <mergeCell ref="C86:D86"/>
    <mergeCell ref="E86:F86"/>
    <mergeCell ref="G86:H86"/>
    <mergeCell ref="I86:J86"/>
    <mergeCell ref="K86:L86"/>
    <mergeCell ref="C34:D34"/>
    <mergeCell ref="E34:F34"/>
    <mergeCell ref="G34:H34"/>
    <mergeCell ref="I34:J34"/>
    <mergeCell ref="K34:L34"/>
    <mergeCell ref="C133:D133"/>
    <mergeCell ref="E133:F133"/>
    <mergeCell ref="G133:H133"/>
    <mergeCell ref="I133:J133"/>
    <mergeCell ref="K133:L133"/>
    <mergeCell ref="C119:D119"/>
    <mergeCell ref="E119:F119"/>
    <mergeCell ref="G119:H119"/>
    <mergeCell ref="I119:J119"/>
    <mergeCell ref="K119:L119"/>
    <mergeCell ref="AA169:AF169"/>
    <mergeCell ref="H148:L148"/>
    <mergeCell ref="C149:D149"/>
    <mergeCell ref="E149:F149"/>
    <mergeCell ref="G149:H149"/>
    <mergeCell ref="I149:J149"/>
    <mergeCell ref="K149:L149"/>
    <mergeCell ref="B164:L164"/>
    <mergeCell ref="C169:H169"/>
    <mergeCell ref="I169:N169"/>
    <mergeCell ref="O169:T169"/>
    <mergeCell ref="U169:Z169"/>
    <mergeCell ref="U170:W170"/>
    <mergeCell ref="X170:Z170"/>
    <mergeCell ref="AA170:AC170"/>
    <mergeCell ref="AD170:AF170"/>
    <mergeCell ref="C186:D186"/>
    <mergeCell ref="E186:F186"/>
    <mergeCell ref="G186:H186"/>
    <mergeCell ref="I186:J186"/>
    <mergeCell ref="K186:L186"/>
    <mergeCell ref="C170:E170"/>
    <mergeCell ref="F170:H170"/>
    <mergeCell ref="I170:K170"/>
    <mergeCell ref="L170:N170"/>
    <mergeCell ref="O170:Q170"/>
    <mergeCell ref="R170:T170"/>
    <mergeCell ref="J189:J191"/>
    <mergeCell ref="B195:L195"/>
    <mergeCell ref="C189:C191"/>
    <mergeCell ref="D189:D191"/>
    <mergeCell ref="E189:E191"/>
    <mergeCell ref="F189:F191"/>
    <mergeCell ref="G189:G191"/>
    <mergeCell ref="H189:H191"/>
    <mergeCell ref="I189:I191"/>
  </mergeCells>
  <conditionalFormatting sqref="C84:J84">
    <cfRule type="expression" dxfId="0" priority="1">
      <formula>ROUND(C84,1)=0</formula>
    </cfRule>
  </conditionalFormatting>
  <dataValidations count="3">
    <dataValidation type="list" allowBlank="1" showInputMessage="1" showErrorMessage="1" sqref="B5">
      <formula1>$V$5:$V$11</formula1>
    </dataValidation>
    <dataValidation type="decimal" operator="greaterThan" allowBlank="1" showInputMessage="1" showErrorMessage="1" sqref="C110:D110 C109:J109">
      <formula1>0</formula1>
    </dataValidation>
    <dataValidation type="list" allowBlank="1" showInputMessage="1" showErrorMessage="1" sqref="C31:J31">
      <formula1>"Yes,No"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57" workbookViewId="0">
      <selection activeCell="C66" sqref="A58:C66"/>
    </sheetView>
  </sheetViews>
  <sheetFormatPr defaultColWidth="8.71093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</vt:lpstr>
      <vt:lpstr>Rev01 2.2 (2)</vt:lpstr>
      <vt:lpstr>Sheet1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Haider Saikh</dc:creator>
  <cp:lastModifiedBy>Windows User</cp:lastModifiedBy>
  <dcterms:created xsi:type="dcterms:W3CDTF">2021-12-23T08:10:52Z</dcterms:created>
  <dcterms:modified xsi:type="dcterms:W3CDTF">2025-02-28T11:33:51Z</dcterms:modified>
</cp:coreProperties>
</file>