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nshan/Downloads/"/>
    </mc:Choice>
  </mc:AlternateContent>
  <xr:revisionPtr revIDLastSave="0" documentId="13_ncr:1_{881748D6-A9D1-A047-B055-2EA398744617}" xr6:coauthVersionLast="47" xr6:coauthVersionMax="47" xr10:uidLastSave="{00000000-0000-0000-0000-000000000000}"/>
  <bookViews>
    <workbookView xWindow="0" yWindow="500" windowWidth="28800" windowHeight="16340" activeTab="1" xr2:uid="{00000000-000D-0000-FFFF-FFFF00000000}"/>
  </bookViews>
  <sheets>
    <sheet name="2.1" sheetId="6" r:id="rId1"/>
    <sheet name="Rev01 2.2 (3)" sheetId="7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5" i="7" l="1"/>
  <c r="G140" i="7" l="1"/>
  <c r="G104" i="7"/>
  <c r="G161" i="7"/>
  <c r="G159" i="7"/>
  <c r="G110" i="7"/>
  <c r="G109" i="7"/>
  <c r="G67" i="7"/>
  <c r="G14" i="7"/>
  <c r="E110" i="7" l="1"/>
  <c r="C109" i="7"/>
  <c r="C110" i="7"/>
  <c r="E109" i="7" s="1"/>
  <c r="C156" i="7" l="1"/>
  <c r="E82" i="7"/>
  <c r="E75" i="7"/>
  <c r="E74" i="7"/>
  <c r="E14" i="7"/>
  <c r="E104" i="7" l="1"/>
  <c r="E192" i="7" l="1"/>
  <c r="C189" i="7" l="1"/>
  <c r="C155" i="7" l="1"/>
  <c r="C153" i="7"/>
  <c r="C82" i="7"/>
  <c r="C75" i="7"/>
  <c r="C74" i="7"/>
  <c r="C14" i="7"/>
  <c r="C108" i="7" s="1"/>
  <c r="J156" i="7"/>
  <c r="J162" i="7" s="1"/>
  <c r="H156" i="7"/>
  <c r="H155" i="7"/>
  <c r="R176" i="7" s="1"/>
  <c r="H154" i="7"/>
  <c r="F156" i="7"/>
  <c r="F162" i="7" s="1"/>
  <c r="D161" i="7"/>
  <c r="L161" i="7" s="1"/>
  <c r="D160" i="7"/>
  <c r="L160" i="7" s="1"/>
  <c r="D159" i="7"/>
  <c r="L159" i="7" s="1"/>
  <c r="D158" i="7"/>
  <c r="L158" i="7" s="1"/>
  <c r="D155" i="7"/>
  <c r="F176" i="7" s="1"/>
  <c r="D154" i="7"/>
  <c r="D153" i="7"/>
  <c r="F174" i="7" s="1"/>
  <c r="D151" i="7"/>
  <c r="L151" i="7" s="1"/>
  <c r="J140" i="7"/>
  <c r="J146" i="7" s="1"/>
  <c r="J103" i="7" s="1"/>
  <c r="H140" i="7"/>
  <c r="H146" i="7" s="1"/>
  <c r="H103" i="7" s="1"/>
  <c r="F140" i="7"/>
  <c r="F146" i="7" s="1"/>
  <c r="F103" i="7" s="1"/>
  <c r="D140" i="7"/>
  <c r="D146" i="7" s="1"/>
  <c r="D103" i="7" s="1"/>
  <c r="D111" i="7"/>
  <c r="D108" i="7"/>
  <c r="D105" i="7"/>
  <c r="D104" i="7"/>
  <c r="D93" i="7"/>
  <c r="D88" i="7"/>
  <c r="J110" i="7"/>
  <c r="J108" i="7"/>
  <c r="J105" i="7"/>
  <c r="J104" i="7"/>
  <c r="J93" i="7"/>
  <c r="J88" i="7"/>
  <c r="H110" i="7"/>
  <c r="H206" i="7" s="1"/>
  <c r="H109" i="7"/>
  <c r="H105" i="7"/>
  <c r="H104" i="7"/>
  <c r="H93" i="7"/>
  <c r="H88" i="7"/>
  <c r="F111" i="7"/>
  <c r="F108" i="7"/>
  <c r="F105" i="7"/>
  <c r="F104" i="7"/>
  <c r="F93" i="7"/>
  <c r="F88" i="7"/>
  <c r="C105" i="7"/>
  <c r="C104" i="7"/>
  <c r="C93" i="7"/>
  <c r="C100" i="7" s="1"/>
  <c r="C88" i="7"/>
  <c r="J82" i="7"/>
  <c r="J78" i="7"/>
  <c r="J75" i="7"/>
  <c r="J74" i="7"/>
  <c r="J73" i="7"/>
  <c r="J83" i="7" s="1"/>
  <c r="H82" i="7"/>
  <c r="H78" i="7"/>
  <c r="H75" i="7"/>
  <c r="H74" i="7"/>
  <c r="H73" i="7" s="1"/>
  <c r="H69" i="7"/>
  <c r="F82" i="7"/>
  <c r="F78" i="7"/>
  <c r="F75" i="7"/>
  <c r="F74" i="7"/>
  <c r="F73" i="7"/>
  <c r="D78" i="7"/>
  <c r="D77" i="7"/>
  <c r="D82" i="7" s="1"/>
  <c r="D75" i="7"/>
  <c r="J61" i="7"/>
  <c r="J67" i="7" s="1"/>
  <c r="H61" i="7"/>
  <c r="H67" i="7" s="1"/>
  <c r="F61" i="7"/>
  <c r="F67" i="7" s="1"/>
  <c r="D61" i="7"/>
  <c r="D67" i="7" s="1"/>
  <c r="H14" i="7"/>
  <c r="H108" i="7" s="1"/>
  <c r="F43" i="7"/>
  <c r="F40" i="7" s="1"/>
  <c r="J213" i="7"/>
  <c r="J215" i="7" s="1"/>
  <c r="I213" i="7"/>
  <c r="I214" i="7" s="1"/>
  <c r="H213" i="7"/>
  <c r="H215" i="7" s="1"/>
  <c r="G213" i="7"/>
  <c r="G214" i="7" s="1"/>
  <c r="F213" i="7"/>
  <c r="F215" i="7" s="1"/>
  <c r="E213" i="7"/>
  <c r="E214" i="7" s="1"/>
  <c r="D213" i="7"/>
  <c r="D215" i="7" s="1"/>
  <c r="C213" i="7"/>
  <c r="C214" i="7" s="1"/>
  <c r="F206" i="7"/>
  <c r="D206" i="7"/>
  <c r="E205" i="7"/>
  <c r="C205" i="7"/>
  <c r="H204" i="7"/>
  <c r="F204" i="7"/>
  <c r="D204" i="7"/>
  <c r="E203" i="7"/>
  <c r="C203" i="7"/>
  <c r="J192" i="7"/>
  <c r="J99" i="7" s="1"/>
  <c r="I192" i="7"/>
  <c r="H192" i="7"/>
  <c r="H99" i="7" s="1"/>
  <c r="G192" i="7"/>
  <c r="F192" i="7"/>
  <c r="F99" i="7" s="1"/>
  <c r="D192" i="7"/>
  <c r="D99" i="7" s="1"/>
  <c r="C192" i="7"/>
  <c r="L191" i="7"/>
  <c r="K191" i="7"/>
  <c r="L190" i="7"/>
  <c r="K190" i="7"/>
  <c r="L189" i="7"/>
  <c r="K189" i="7"/>
  <c r="K187" i="7"/>
  <c r="I187" i="7"/>
  <c r="G187" i="7"/>
  <c r="E187" i="7"/>
  <c r="C187" i="7"/>
  <c r="AF182" i="7"/>
  <c r="AE182" i="7"/>
  <c r="AC182" i="7"/>
  <c r="AB182" i="7"/>
  <c r="X182" i="7"/>
  <c r="R182" i="7"/>
  <c r="O182" i="7"/>
  <c r="L182" i="7"/>
  <c r="I182" i="7"/>
  <c r="C182" i="7"/>
  <c r="AF181" i="7"/>
  <c r="AE181" i="7"/>
  <c r="AC181" i="7"/>
  <c r="AB181" i="7"/>
  <c r="X181" i="7"/>
  <c r="R181" i="7"/>
  <c r="O181" i="7"/>
  <c r="L181" i="7"/>
  <c r="I181" i="7"/>
  <c r="AF180" i="7"/>
  <c r="AE180" i="7"/>
  <c r="AC180" i="7"/>
  <c r="AB180" i="7"/>
  <c r="X180" i="7"/>
  <c r="R180" i="7"/>
  <c r="O180" i="7"/>
  <c r="L180" i="7"/>
  <c r="I180" i="7"/>
  <c r="AF179" i="7"/>
  <c r="AE179" i="7"/>
  <c r="AC179" i="7"/>
  <c r="AB179" i="7"/>
  <c r="X179" i="7"/>
  <c r="R179" i="7"/>
  <c r="O179" i="7"/>
  <c r="L179" i="7"/>
  <c r="I179" i="7"/>
  <c r="AF178" i="7"/>
  <c r="AE178" i="7"/>
  <c r="AC178" i="7"/>
  <c r="AB178" i="7"/>
  <c r="X178" i="7"/>
  <c r="R178" i="7"/>
  <c r="O178" i="7"/>
  <c r="Z177" i="7"/>
  <c r="Z183" i="7" s="1"/>
  <c r="Y177" i="7"/>
  <c r="Y183" i="7" s="1"/>
  <c r="W177" i="7"/>
  <c r="W183" i="7" s="1"/>
  <c r="V177" i="7"/>
  <c r="V183" i="7" s="1"/>
  <c r="U177" i="7"/>
  <c r="U183" i="7" s="1"/>
  <c r="T177" i="7"/>
  <c r="T183" i="7" s="1"/>
  <c r="S177" i="7"/>
  <c r="S183" i="7" s="1"/>
  <c r="Q177" i="7"/>
  <c r="Q183" i="7" s="1"/>
  <c r="P177" i="7"/>
  <c r="P183" i="7" s="1"/>
  <c r="N177" i="7"/>
  <c r="N183" i="7" s="1"/>
  <c r="M177" i="7"/>
  <c r="M183" i="7" s="1"/>
  <c r="K177" i="7"/>
  <c r="K183" i="7" s="1"/>
  <c r="J177" i="7"/>
  <c r="J183" i="7" s="1"/>
  <c r="H177" i="7"/>
  <c r="H183" i="7" s="1"/>
  <c r="G177" i="7"/>
  <c r="G183" i="7" s="1"/>
  <c r="E177" i="7"/>
  <c r="E183" i="7" s="1"/>
  <c r="D177" i="7"/>
  <c r="D183" i="7" s="1"/>
  <c r="AF176" i="7"/>
  <c r="AE176" i="7"/>
  <c r="AC176" i="7"/>
  <c r="AB176" i="7"/>
  <c r="X176" i="7"/>
  <c r="O176" i="7"/>
  <c r="L176" i="7"/>
  <c r="I176" i="7"/>
  <c r="AF175" i="7"/>
  <c r="AE175" i="7"/>
  <c r="AC175" i="7"/>
  <c r="AB175" i="7"/>
  <c r="X175" i="7"/>
  <c r="O175" i="7"/>
  <c r="L175" i="7"/>
  <c r="I175" i="7"/>
  <c r="AF174" i="7"/>
  <c r="AE174" i="7"/>
  <c r="AC174" i="7"/>
  <c r="AB174" i="7"/>
  <c r="X174" i="7"/>
  <c r="R174" i="7"/>
  <c r="O174" i="7"/>
  <c r="L174" i="7"/>
  <c r="I174" i="7"/>
  <c r="C174" i="7"/>
  <c r="AF173" i="7"/>
  <c r="AE173" i="7"/>
  <c r="AC173" i="7"/>
  <c r="AB173" i="7"/>
  <c r="X173" i="7"/>
  <c r="R173" i="7"/>
  <c r="O173" i="7"/>
  <c r="L173" i="7"/>
  <c r="I173" i="7"/>
  <c r="F173" i="7"/>
  <c r="C173" i="7"/>
  <c r="AF172" i="7"/>
  <c r="AE172" i="7"/>
  <c r="AC172" i="7"/>
  <c r="AB172" i="7"/>
  <c r="X172" i="7"/>
  <c r="R172" i="7"/>
  <c r="O172" i="7"/>
  <c r="L172" i="7"/>
  <c r="I172" i="7"/>
  <c r="AA170" i="7"/>
  <c r="U170" i="7"/>
  <c r="O170" i="7"/>
  <c r="I170" i="7"/>
  <c r="C170" i="7"/>
  <c r="K161" i="7"/>
  <c r="K160" i="7"/>
  <c r="C181" i="7"/>
  <c r="K159" i="7"/>
  <c r="C180" i="7"/>
  <c r="C179" i="7"/>
  <c r="L157" i="7"/>
  <c r="K157" i="7"/>
  <c r="I156" i="7"/>
  <c r="I162" i="7" s="1"/>
  <c r="G156" i="7"/>
  <c r="G162" i="7" s="1"/>
  <c r="E156" i="7"/>
  <c r="E162" i="7" s="1"/>
  <c r="K155" i="7"/>
  <c r="K154" i="7"/>
  <c r="L153" i="7"/>
  <c r="K153" i="7"/>
  <c r="L152" i="7"/>
  <c r="K152" i="7"/>
  <c r="C172" i="7"/>
  <c r="K150" i="7"/>
  <c r="I150" i="7"/>
  <c r="G150" i="7"/>
  <c r="E150" i="7"/>
  <c r="C150" i="7"/>
  <c r="L145" i="7"/>
  <c r="L105" i="7" s="1"/>
  <c r="K145" i="7"/>
  <c r="K105" i="7" s="1"/>
  <c r="L144" i="7"/>
  <c r="L104" i="7" s="1"/>
  <c r="K144" i="7"/>
  <c r="K104" i="7" s="1"/>
  <c r="L143" i="7"/>
  <c r="K143" i="7"/>
  <c r="L142" i="7"/>
  <c r="K142" i="7"/>
  <c r="L141" i="7"/>
  <c r="K141" i="7"/>
  <c r="I140" i="7"/>
  <c r="I146" i="7" s="1"/>
  <c r="I102" i="7" s="1"/>
  <c r="I107" i="7" s="1"/>
  <c r="G146" i="7"/>
  <c r="E140" i="7"/>
  <c r="E146" i="7" s="1"/>
  <c r="C140" i="7"/>
  <c r="C146" i="7" s="1"/>
  <c r="C103" i="7" s="1"/>
  <c r="L139" i="7"/>
  <c r="K139" i="7"/>
  <c r="L138" i="7"/>
  <c r="K138" i="7"/>
  <c r="L137" i="7"/>
  <c r="K137" i="7"/>
  <c r="L136" i="7"/>
  <c r="K136" i="7"/>
  <c r="L135" i="7"/>
  <c r="K135" i="7"/>
  <c r="K134" i="7"/>
  <c r="I134" i="7"/>
  <c r="G134" i="7"/>
  <c r="E134" i="7"/>
  <c r="C134" i="7"/>
  <c r="L130" i="7"/>
  <c r="K130" i="7"/>
  <c r="K120" i="7"/>
  <c r="I120" i="7"/>
  <c r="G120" i="7"/>
  <c r="E120" i="7"/>
  <c r="C120" i="7"/>
  <c r="E111" i="7"/>
  <c r="I205" i="7"/>
  <c r="K110" i="7"/>
  <c r="G203" i="7"/>
  <c r="I108" i="7"/>
  <c r="E108" i="7"/>
  <c r="L101" i="7"/>
  <c r="K101" i="7"/>
  <c r="L98" i="7"/>
  <c r="K98" i="7"/>
  <c r="L97" i="7"/>
  <c r="K97" i="7"/>
  <c r="L96" i="7"/>
  <c r="K96" i="7"/>
  <c r="L95" i="7"/>
  <c r="K95" i="7"/>
  <c r="L94" i="7"/>
  <c r="K94" i="7"/>
  <c r="I93" i="7"/>
  <c r="I100" i="7" s="1"/>
  <c r="I106" i="7" s="1"/>
  <c r="G93" i="7"/>
  <c r="G100" i="7" s="1"/>
  <c r="G106" i="7" s="1"/>
  <c r="E93" i="7"/>
  <c r="E100" i="7" s="1"/>
  <c r="E106" i="7" s="1"/>
  <c r="L88" i="7"/>
  <c r="K88" i="7"/>
  <c r="I88" i="7"/>
  <c r="G88" i="7"/>
  <c r="E88" i="7"/>
  <c r="K87" i="7"/>
  <c r="I87" i="7"/>
  <c r="G87" i="7"/>
  <c r="E87" i="7"/>
  <c r="C87" i="7"/>
  <c r="I78" i="7"/>
  <c r="I130" i="7" s="1"/>
  <c r="G78" i="7"/>
  <c r="G130" i="7" s="1"/>
  <c r="E78" i="7"/>
  <c r="E130" i="7" s="1"/>
  <c r="C78" i="7"/>
  <c r="C130" i="7" s="1"/>
  <c r="G73" i="7"/>
  <c r="G217" i="7" s="1"/>
  <c r="G218" i="7" s="1"/>
  <c r="I73" i="7"/>
  <c r="I217" i="7" s="1"/>
  <c r="I218" i="7" s="1"/>
  <c r="E73" i="7"/>
  <c r="E217" i="7" s="1"/>
  <c r="E218" i="7" s="1"/>
  <c r="C73" i="7"/>
  <c r="C217" i="7" s="1"/>
  <c r="C218" i="7" s="1"/>
  <c r="I61" i="7"/>
  <c r="I208" i="7" s="1"/>
  <c r="I209" i="7" s="1"/>
  <c r="G61" i="7"/>
  <c r="E61" i="7"/>
  <c r="E208" i="7" s="1"/>
  <c r="E209" i="7" s="1"/>
  <c r="C61" i="7"/>
  <c r="C67" i="7" s="1"/>
  <c r="I57" i="7"/>
  <c r="G57" i="7"/>
  <c r="E57" i="7"/>
  <c r="C57" i="7"/>
  <c r="L52" i="7"/>
  <c r="K52" i="7"/>
  <c r="L51" i="7"/>
  <c r="K51" i="7"/>
  <c r="L47" i="7"/>
  <c r="K47" i="7"/>
  <c r="L46" i="7"/>
  <c r="K46" i="7"/>
  <c r="L45" i="7"/>
  <c r="K45" i="7"/>
  <c r="L44" i="7"/>
  <c r="K44" i="7"/>
  <c r="K43" i="7"/>
  <c r="L42" i="7"/>
  <c r="K42" i="7"/>
  <c r="L41" i="7"/>
  <c r="K41" i="7"/>
  <c r="J40" i="7"/>
  <c r="I40" i="7"/>
  <c r="H40" i="7"/>
  <c r="G40" i="7"/>
  <c r="E40" i="7"/>
  <c r="D40" i="7"/>
  <c r="C40" i="7"/>
  <c r="L39" i="7"/>
  <c r="K39" i="7"/>
  <c r="L38" i="7"/>
  <c r="K38" i="7"/>
  <c r="L37" i="7"/>
  <c r="K37" i="7"/>
  <c r="J36" i="7"/>
  <c r="I36" i="7"/>
  <c r="H36" i="7"/>
  <c r="G36" i="7"/>
  <c r="F36" i="7"/>
  <c r="E36" i="7"/>
  <c r="D36" i="7"/>
  <c r="D129" i="7" s="1"/>
  <c r="C36" i="7"/>
  <c r="K35" i="7"/>
  <c r="I35" i="7"/>
  <c r="G35" i="7"/>
  <c r="E35" i="7"/>
  <c r="C35" i="7"/>
  <c r="L29" i="7"/>
  <c r="K29" i="7"/>
  <c r="L27" i="7"/>
  <c r="K27" i="7"/>
  <c r="L26" i="7"/>
  <c r="K26" i="7"/>
  <c r="L25" i="7"/>
  <c r="L24" i="7" s="1"/>
  <c r="K25" i="7"/>
  <c r="J24" i="7"/>
  <c r="I24" i="7"/>
  <c r="H24" i="7"/>
  <c r="G24" i="7"/>
  <c r="F24" i="7"/>
  <c r="E24" i="7"/>
  <c r="D24" i="7"/>
  <c r="C24" i="7"/>
  <c r="L23" i="7"/>
  <c r="K23" i="7"/>
  <c r="L22" i="7"/>
  <c r="K22" i="7"/>
  <c r="L21" i="7"/>
  <c r="K21" i="7"/>
  <c r="J20" i="7"/>
  <c r="I20" i="7"/>
  <c r="H20" i="7"/>
  <c r="G20" i="7"/>
  <c r="F20" i="7"/>
  <c r="E20" i="7"/>
  <c r="D20" i="7"/>
  <c r="C20" i="7"/>
  <c r="L19" i="7"/>
  <c r="K19" i="7"/>
  <c r="L18" i="7"/>
  <c r="K18" i="7"/>
  <c r="L17" i="7"/>
  <c r="K17" i="7"/>
  <c r="L16" i="7"/>
  <c r="K16" i="7"/>
  <c r="L15" i="7"/>
  <c r="K15" i="7"/>
  <c r="K14" i="7"/>
  <c r="G108" i="7"/>
  <c r="J13" i="7"/>
  <c r="I13" i="7"/>
  <c r="G13" i="7"/>
  <c r="F13" i="7"/>
  <c r="E13" i="7"/>
  <c r="D13" i="7"/>
  <c r="C13" i="7"/>
  <c r="K12" i="7"/>
  <c r="I12" i="7"/>
  <c r="G12" i="7"/>
  <c r="E12" i="7"/>
  <c r="C12" i="7"/>
  <c r="B6" i="7"/>
  <c r="L87" i="7" s="1"/>
  <c r="G103" i="7" l="1"/>
  <c r="G102" i="7" s="1"/>
  <c r="G107" i="7" s="1"/>
  <c r="G112" i="7" s="1"/>
  <c r="H130" i="7"/>
  <c r="D113" i="7"/>
  <c r="H162" i="7"/>
  <c r="AA173" i="7"/>
  <c r="J208" i="7"/>
  <c r="J210" i="7" s="1"/>
  <c r="D156" i="7"/>
  <c r="D162" i="7" s="1"/>
  <c r="E103" i="7"/>
  <c r="E102" i="7" s="1"/>
  <c r="E107" i="7" s="1"/>
  <c r="E112" i="7" s="1"/>
  <c r="I112" i="7"/>
  <c r="F100" i="7"/>
  <c r="F106" i="7" s="1"/>
  <c r="J109" i="7"/>
  <c r="J111" i="7" s="1"/>
  <c r="J113" i="7" s="1"/>
  <c r="C162" i="7"/>
  <c r="AF177" i="7"/>
  <c r="D73" i="7"/>
  <c r="D217" i="7" s="1"/>
  <c r="D219" i="7" s="1"/>
  <c r="F113" i="7"/>
  <c r="L110" i="7"/>
  <c r="J102" i="7"/>
  <c r="J107" i="7" s="1"/>
  <c r="H102" i="7"/>
  <c r="H107" i="7" s="1"/>
  <c r="L43" i="7"/>
  <c r="G28" i="7"/>
  <c r="G122" i="7" s="1"/>
  <c r="H83" i="7"/>
  <c r="C111" i="7"/>
  <c r="L154" i="7"/>
  <c r="F179" i="7"/>
  <c r="F181" i="7"/>
  <c r="AD181" i="7" s="1"/>
  <c r="R175" i="7"/>
  <c r="F130" i="7"/>
  <c r="H13" i="7"/>
  <c r="H128" i="7" s="1"/>
  <c r="C102" i="7"/>
  <c r="C107" i="7" s="1"/>
  <c r="C48" i="7"/>
  <c r="C121" i="7" s="1"/>
  <c r="K24" i="7"/>
  <c r="C113" i="7"/>
  <c r="C114" i="7" s="1"/>
  <c r="E28" i="7"/>
  <c r="E122" i="7" s="1"/>
  <c r="L14" i="7"/>
  <c r="L13" i="7" s="1"/>
  <c r="K214" i="7"/>
  <c r="H111" i="7"/>
  <c r="H113" i="7" s="1"/>
  <c r="D102" i="7"/>
  <c r="D107" i="7" s="1"/>
  <c r="F172" i="7"/>
  <c r="AD172" i="7" s="1"/>
  <c r="F175" i="7"/>
  <c r="I129" i="7"/>
  <c r="I28" i="7"/>
  <c r="I122" i="7" s="1"/>
  <c r="G48" i="7"/>
  <c r="G121" i="7" s="1"/>
  <c r="G208" i="7"/>
  <c r="G209" i="7" s="1"/>
  <c r="AA178" i="7"/>
  <c r="AA180" i="7"/>
  <c r="F180" i="7"/>
  <c r="AD180" i="7" s="1"/>
  <c r="I177" i="7"/>
  <c r="I183" i="7" s="1"/>
  <c r="AA182" i="7" s="1"/>
  <c r="F83" i="7"/>
  <c r="G128" i="7"/>
  <c r="AB177" i="7"/>
  <c r="AB183" i="7" s="1"/>
  <c r="H100" i="7"/>
  <c r="H106" i="7" s="1"/>
  <c r="C106" i="7"/>
  <c r="L155" i="7"/>
  <c r="AC177" i="7"/>
  <c r="AC183" i="7" s="1"/>
  <c r="K140" i="7"/>
  <c r="K146" i="7" s="1"/>
  <c r="K103" i="7" s="1"/>
  <c r="K102" i="7" s="1"/>
  <c r="K107" i="7" s="1"/>
  <c r="AE177" i="7"/>
  <c r="AE183" i="7" s="1"/>
  <c r="J100" i="7"/>
  <c r="J106" i="7" s="1"/>
  <c r="F102" i="7"/>
  <c r="F107" i="7" s="1"/>
  <c r="F112" i="7" s="1"/>
  <c r="F115" i="7" s="1"/>
  <c r="K192" i="7"/>
  <c r="K99" i="7" s="1"/>
  <c r="D100" i="7"/>
  <c r="D106" i="7" s="1"/>
  <c r="D112" i="7" s="1"/>
  <c r="D115" i="7" s="1"/>
  <c r="L192" i="7"/>
  <c r="L99" i="7" s="1"/>
  <c r="AD178" i="7"/>
  <c r="X177" i="7"/>
  <c r="X183" i="7" s="1"/>
  <c r="AD174" i="7"/>
  <c r="L177" i="7"/>
  <c r="F182" i="7"/>
  <c r="D114" i="7"/>
  <c r="J206" i="7"/>
  <c r="K206" i="7" s="1"/>
  <c r="L109" i="7"/>
  <c r="L93" i="7"/>
  <c r="K93" i="7"/>
  <c r="J217" i="7"/>
  <c r="J219" i="7" s="1"/>
  <c r="F217" i="7"/>
  <c r="F219" i="7" s="1"/>
  <c r="D130" i="7"/>
  <c r="F208" i="7"/>
  <c r="F210" i="7" s="1"/>
  <c r="J48" i="7"/>
  <c r="H48" i="7"/>
  <c r="L40" i="7"/>
  <c r="L36" i="7"/>
  <c r="L20" i="7"/>
  <c r="J28" i="7"/>
  <c r="J30" i="7" s="1"/>
  <c r="F28" i="7"/>
  <c r="F30" i="7" s="1"/>
  <c r="AA181" i="7"/>
  <c r="AD179" i="7"/>
  <c r="L156" i="7"/>
  <c r="R177" i="7"/>
  <c r="AA174" i="7"/>
  <c r="AD173" i="7"/>
  <c r="AD176" i="7"/>
  <c r="L140" i="7"/>
  <c r="L146" i="7" s="1"/>
  <c r="L103" i="7" s="1"/>
  <c r="L102" i="7" s="1"/>
  <c r="L107" i="7" s="1"/>
  <c r="K215" i="7"/>
  <c r="J130" i="7"/>
  <c r="C208" i="7"/>
  <c r="C209" i="7" s="1"/>
  <c r="F48" i="7"/>
  <c r="I48" i="7"/>
  <c r="I121" i="7" s="1"/>
  <c r="K40" i="7"/>
  <c r="K36" i="7"/>
  <c r="G129" i="7"/>
  <c r="D48" i="7"/>
  <c r="K13" i="7"/>
  <c r="K20" i="7"/>
  <c r="E113" i="7"/>
  <c r="K108" i="7"/>
  <c r="G30" i="7"/>
  <c r="AA172" i="7"/>
  <c r="AA179" i="7"/>
  <c r="C177" i="7"/>
  <c r="K218" i="7"/>
  <c r="AF183" i="7"/>
  <c r="G83" i="7"/>
  <c r="G84" i="7" s="1"/>
  <c r="H84" i="7"/>
  <c r="F57" i="7"/>
  <c r="J57" i="7"/>
  <c r="J84" i="7"/>
  <c r="J35" i="7"/>
  <c r="E67" i="7"/>
  <c r="I67" i="7"/>
  <c r="E83" i="7"/>
  <c r="D120" i="7"/>
  <c r="H129" i="7"/>
  <c r="D12" i="7"/>
  <c r="C28" i="7"/>
  <c r="D57" i="7"/>
  <c r="D83" i="7"/>
  <c r="D84" i="7" s="1"/>
  <c r="D35" i="7"/>
  <c r="H35" i="7"/>
  <c r="L35" i="7"/>
  <c r="E48" i="7"/>
  <c r="E121" i="7" s="1"/>
  <c r="C83" i="7"/>
  <c r="C84" i="7" s="1"/>
  <c r="F120" i="7"/>
  <c r="J120" i="7"/>
  <c r="F128" i="7"/>
  <c r="J128" i="7"/>
  <c r="F129" i="7"/>
  <c r="J129" i="7"/>
  <c r="D134" i="7"/>
  <c r="H134" i="7"/>
  <c r="L134" i="7"/>
  <c r="F150" i="7"/>
  <c r="J150" i="7"/>
  <c r="K151" i="7"/>
  <c r="K158" i="7"/>
  <c r="K156" i="7" s="1"/>
  <c r="L170" i="7"/>
  <c r="X170" i="7"/>
  <c r="O177" i="7"/>
  <c r="O183" i="7" s="1"/>
  <c r="L183" i="7"/>
  <c r="F187" i="7"/>
  <c r="J187" i="7"/>
  <c r="D208" i="7"/>
  <c r="D210" i="7" s="1"/>
  <c r="H208" i="7"/>
  <c r="H210" i="7" s="1"/>
  <c r="H217" i="7"/>
  <c r="H219" i="7" s="1"/>
  <c r="F87" i="7"/>
  <c r="J87" i="7"/>
  <c r="G111" i="7"/>
  <c r="G113" i="7" s="1"/>
  <c r="E128" i="7"/>
  <c r="I128" i="7"/>
  <c r="E129" i="7"/>
  <c r="C176" i="7"/>
  <c r="AA176" i="7" s="1"/>
  <c r="G205" i="7"/>
  <c r="K205" i="7" s="1"/>
  <c r="F35" i="7"/>
  <c r="H120" i="7"/>
  <c r="D128" i="7"/>
  <c r="F134" i="7"/>
  <c r="J134" i="7"/>
  <c r="D150" i="7"/>
  <c r="H150" i="7"/>
  <c r="L150" i="7"/>
  <c r="F170" i="7"/>
  <c r="R170" i="7"/>
  <c r="AD170" i="7"/>
  <c r="C175" i="7"/>
  <c r="AA175" i="7" s="1"/>
  <c r="D187" i="7"/>
  <c r="H187" i="7"/>
  <c r="L187" i="7"/>
  <c r="F12" i="7"/>
  <c r="J12" i="7"/>
  <c r="D28" i="7"/>
  <c r="I83" i="7"/>
  <c r="L120" i="7"/>
  <c r="H12" i="7"/>
  <c r="L12" i="7"/>
  <c r="H57" i="7"/>
  <c r="D87" i="7"/>
  <c r="H87" i="7"/>
  <c r="C128" i="7"/>
  <c r="C129" i="7"/>
  <c r="G114" i="7" l="1"/>
  <c r="J112" i="7"/>
  <c r="J115" i="7" s="1"/>
  <c r="J114" i="7"/>
  <c r="H114" i="7"/>
  <c r="E30" i="7"/>
  <c r="AD175" i="7"/>
  <c r="L108" i="7"/>
  <c r="F50" i="7"/>
  <c r="F53" i="7" s="1"/>
  <c r="L111" i="7"/>
  <c r="J204" i="7"/>
  <c r="K204" i="7" s="1"/>
  <c r="F122" i="7"/>
  <c r="H112" i="7"/>
  <c r="H115" i="7" s="1"/>
  <c r="E114" i="7"/>
  <c r="E115" i="7"/>
  <c r="K209" i="7"/>
  <c r="C112" i="7"/>
  <c r="C115" i="7" s="1"/>
  <c r="H28" i="7"/>
  <c r="H122" i="7" s="1"/>
  <c r="D121" i="7"/>
  <c r="I84" i="7"/>
  <c r="F177" i="7"/>
  <c r="F183" i="7" s="1"/>
  <c r="R183" i="7"/>
  <c r="F114" i="7"/>
  <c r="J121" i="7"/>
  <c r="J122" i="7"/>
  <c r="I50" i="7"/>
  <c r="I53" i="7" s="1"/>
  <c r="I30" i="7"/>
  <c r="I126" i="7" s="1"/>
  <c r="I127" i="7" s="1"/>
  <c r="L162" i="7"/>
  <c r="G50" i="7"/>
  <c r="G53" i="7" s="1"/>
  <c r="G123" i="7"/>
  <c r="AD182" i="7"/>
  <c r="AD177" i="7" s="1"/>
  <c r="AD183" i="7" s="1"/>
  <c r="K219" i="7"/>
  <c r="J50" i="7"/>
  <c r="J53" i="7" s="1"/>
  <c r="K100" i="7"/>
  <c r="K106" i="7" s="1"/>
  <c r="K112" i="7" s="1"/>
  <c r="L100" i="7"/>
  <c r="L106" i="7" s="1"/>
  <c r="L112" i="7" s="1"/>
  <c r="H121" i="7"/>
  <c r="L48" i="7"/>
  <c r="F121" i="7"/>
  <c r="L28" i="7"/>
  <c r="L30" i="7" s="1"/>
  <c r="L114" i="7"/>
  <c r="AA177" i="7"/>
  <c r="AA183" i="7" s="1"/>
  <c r="F84" i="7"/>
  <c r="K210" i="7"/>
  <c r="E84" i="7"/>
  <c r="I123" i="7"/>
  <c r="K48" i="7"/>
  <c r="K28" i="7"/>
  <c r="L113" i="7"/>
  <c r="C122" i="7"/>
  <c r="C123" i="7" s="1"/>
  <c r="C50" i="7"/>
  <c r="C53" i="7" s="1"/>
  <c r="C30" i="7"/>
  <c r="E123" i="7"/>
  <c r="E126" i="7"/>
  <c r="E127" i="7" s="1"/>
  <c r="E124" i="7"/>
  <c r="E125" i="7" s="1"/>
  <c r="G115" i="7"/>
  <c r="C183" i="7"/>
  <c r="I111" i="7"/>
  <c r="I113" i="7" s="1"/>
  <c r="I203" i="7"/>
  <c r="K203" i="7" s="1"/>
  <c r="D122" i="7"/>
  <c r="D30" i="7"/>
  <c r="D50" i="7"/>
  <c r="D53" i="7" s="1"/>
  <c r="J126" i="7"/>
  <c r="J124" i="7"/>
  <c r="F126" i="7"/>
  <c r="F124" i="7"/>
  <c r="G126" i="7"/>
  <c r="G127" i="7" s="1"/>
  <c r="G124" i="7"/>
  <c r="G125" i="7" s="1"/>
  <c r="K109" i="7"/>
  <c r="K111" i="7" s="1"/>
  <c r="K113" i="7" s="1"/>
  <c r="K162" i="7"/>
  <c r="E50" i="7"/>
  <c r="E53" i="7" s="1"/>
  <c r="J123" i="7" l="1"/>
  <c r="H123" i="7"/>
  <c r="H50" i="7"/>
  <c r="H53" i="7" s="1"/>
  <c r="D123" i="7"/>
  <c r="H30" i="7"/>
  <c r="H126" i="7" s="1"/>
  <c r="F123" i="7"/>
  <c r="K121" i="7"/>
  <c r="K122" i="7"/>
  <c r="F127" i="7"/>
  <c r="J125" i="7"/>
  <c r="I124" i="7"/>
  <c r="I125" i="7" s="1"/>
  <c r="J127" i="7"/>
  <c r="L115" i="7"/>
  <c r="H127" i="7"/>
  <c r="K30" i="7"/>
  <c r="K124" i="7" s="1"/>
  <c r="L121" i="7"/>
  <c r="L124" i="7"/>
  <c r="F125" i="7"/>
  <c r="H124" i="7"/>
  <c r="H125" i="7" s="1"/>
  <c r="L126" i="7"/>
  <c r="L50" i="7"/>
  <c r="L53" i="7" s="1"/>
  <c r="L122" i="7"/>
  <c r="K50" i="7"/>
  <c r="K53" i="7" s="1"/>
  <c r="D126" i="7"/>
  <c r="D127" i="7" s="1"/>
  <c r="D124" i="7"/>
  <c r="D125" i="7" s="1"/>
  <c r="I114" i="7"/>
  <c r="K114" i="7" s="1"/>
  <c r="K115" i="7" s="1"/>
  <c r="I115" i="7"/>
  <c r="C126" i="7"/>
  <c r="C127" i="7" s="1"/>
  <c r="C124" i="7"/>
  <c r="C125" i="7" s="1"/>
  <c r="L125" i="7" l="1"/>
  <c r="L123" i="7"/>
  <c r="L127" i="7"/>
  <c r="K125" i="7"/>
  <c r="K123" i="7"/>
  <c r="K126" i="7"/>
  <c r="K12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Personal</author>
  </authors>
  <commentList>
    <comment ref="G187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Personal:</t>
        </r>
        <r>
          <rPr>
            <sz val="9"/>
            <color indexed="81"/>
            <rFont val="Tahoma"/>
            <charset val="1"/>
          </rPr>
          <t xml:space="preserve">
338.30+354+129.38=822.</t>
        </r>
      </text>
    </comment>
  </commentList>
</comments>
</file>

<file path=xl/sharedStrings.xml><?xml version="1.0" encoding="utf-8"?>
<sst xmlns="http://schemas.openxmlformats.org/spreadsheetml/2006/main" count="301" uniqueCount="195">
  <si>
    <t>State:</t>
  </si>
  <si>
    <t>Discom:</t>
  </si>
  <si>
    <t>2018-19</t>
  </si>
  <si>
    <t>Current Year (CY)</t>
  </si>
  <si>
    <t>2021-22</t>
  </si>
  <si>
    <t>2019-20</t>
  </si>
  <si>
    <t>Previous Year (PY)</t>
  </si>
  <si>
    <t>2020-21</t>
  </si>
  <si>
    <t>2022-23</t>
  </si>
  <si>
    <t>2023-24</t>
  </si>
  <si>
    <t>Profit &amp; Loss</t>
  </si>
  <si>
    <t>2024-25</t>
  </si>
  <si>
    <t>Table 1: Revenue Details</t>
  </si>
  <si>
    <t>Quarter 1</t>
  </si>
  <si>
    <t>Quarter 2</t>
  </si>
  <si>
    <t>Quarter 3</t>
  </si>
  <si>
    <t>Quarter 4</t>
  </si>
  <si>
    <t>Cumulative (6M/9M/12M)</t>
  </si>
  <si>
    <t>2025-26</t>
  </si>
  <si>
    <t xml:space="preserve"> Revenue from Operations (A = A1+A2+A3+A4+A5+A6)</t>
  </si>
  <si>
    <t xml:space="preserve">A1: Revenue from Sale of Power </t>
  </si>
  <si>
    <t xml:space="preserve">  A2: Fixed Charges/Recovery from theft etc.</t>
  </si>
  <si>
    <t>A3: Revenue from Distribution Franchisee</t>
  </si>
  <si>
    <t xml:space="preserve"> A4: Revenue from Inter-state sale and Trading</t>
  </si>
  <si>
    <t xml:space="preserve"> A5: Revenue from Open Access and Wheeling</t>
  </si>
  <si>
    <t>A6: Any other Operating Revenue</t>
  </si>
  <si>
    <t xml:space="preserve"> Revenue - Subsidies and Grants (B = B1+B2+B3)</t>
  </si>
  <si>
    <t xml:space="preserve"> B1: Tariff Subsidy Booked </t>
  </si>
  <si>
    <t xml:space="preserve"> B2: Revenue Grant under UDAY</t>
  </si>
  <si>
    <t xml:space="preserve"> B3: Other Subsidies and Grants</t>
  </si>
  <si>
    <t xml:space="preserve">  Other Income (C = C1+C2+C3)</t>
  </si>
  <si>
    <t xml:space="preserve">C1: Income booked against deferred revenue* </t>
  </si>
  <si>
    <t>C2: Misc Non-tariff income from consumers (including DPS)</t>
  </si>
  <si>
    <t>C3: Other Non-operating income</t>
  </si>
  <si>
    <t xml:space="preserve"> Total Revenue on subsidy booked basis ( D = A + B + C)</t>
  </si>
  <si>
    <t xml:space="preserve"> Tariff Subsidy Received ( E )</t>
  </si>
  <si>
    <t xml:space="preserve">  Total Revenue on subsidy received basis ( F = D - B1 + E)</t>
  </si>
  <si>
    <t>Whether State Government has made advance payment of subsidy for the quarter(Yes/No)</t>
  </si>
  <si>
    <t xml:space="preserve"> </t>
  </si>
  <si>
    <t>*Revenue deferred by SERC as per tariff order for the relevant FY</t>
  </si>
  <si>
    <t>Table 2: Expenditure Details</t>
  </si>
  <si>
    <t xml:space="preserve"> Cost of Power ( G = G1 + G2+ G3)</t>
  </si>
  <si>
    <t>G1: Generation Cost (Only for GEDCOS)</t>
  </si>
  <si>
    <t>G2: Purchase of Power</t>
  </si>
  <si>
    <t xml:space="preserve"> G3: Transmission Charges</t>
  </si>
  <si>
    <t xml:space="preserve">  O&amp;M Expenses ( H = H1 + H2 + H3 + H4 + H5 + H6 + H7)</t>
  </si>
  <si>
    <t>H1: Repairs &amp; Maintenance</t>
  </si>
  <si>
    <t xml:space="preserve"> H2: Employee Cost</t>
  </si>
  <si>
    <t>H3: Admn &amp; General Expenses</t>
  </si>
  <si>
    <t>H4: Depreciation</t>
  </si>
  <si>
    <t>H5:  Total Interest Cost</t>
  </si>
  <si>
    <t>H6: Other expenses</t>
  </si>
  <si>
    <t xml:space="preserve"> H7: Exceptional Items</t>
  </si>
  <si>
    <t xml:space="preserve">  Total Expenses ( I = G + H )</t>
  </si>
  <si>
    <t xml:space="preserve"> BLANK </t>
  </si>
  <si>
    <t xml:space="preserve">  Profit before tax ( J = D - I )</t>
  </si>
  <si>
    <t>K1: Income Tax</t>
  </si>
  <si>
    <t>K2: Deferred Tax</t>
  </si>
  <si>
    <t xml:space="preserve">  Profit after tax ( L = J - K1 - K2)</t>
  </si>
  <si>
    <t>Balance Sheet</t>
  </si>
  <si>
    <t xml:space="preserve">Table 3:  Total Assets </t>
  </si>
  <si>
    <t>As on 30th June</t>
  </si>
  <si>
    <t>As on 30th Sep</t>
  </si>
  <si>
    <t>As on 31st Dec</t>
  </si>
  <si>
    <t>As on 31st Mar</t>
  </si>
  <si>
    <t>M1: Net Tangible Assets &amp; CWIP</t>
  </si>
  <si>
    <t>M2: Other Non-Current Assets</t>
  </si>
  <si>
    <t>M3:  Net Trade Receivables</t>
  </si>
  <si>
    <t xml:space="preserve">  M3a: Gross Trade Receivable Govt. Dept.</t>
  </si>
  <si>
    <t>M3b: Gross Trade Receivable Other-than Govt. Dept.</t>
  </si>
  <si>
    <t>M3c:Provision for bad debts</t>
  </si>
  <si>
    <t>M4: Subsidy Receivable</t>
  </si>
  <si>
    <t>M5:  Other Current Assets</t>
  </si>
  <si>
    <t xml:space="preserve"> Total Assets ( M = M1 + M2 + M3 + M4 + M5)</t>
  </si>
  <si>
    <t>Table 4: Total Equity and Liabilities</t>
  </si>
  <si>
    <t>N1: Share Capital &amp; General Reserves</t>
  </si>
  <si>
    <t>N2: Accumulated Surplus/ (Deficit) as per Balance Sheet</t>
  </si>
  <si>
    <t>N3: Government Grants for Capital Assets</t>
  </si>
  <si>
    <t>N4: Non-current liabilities</t>
  </si>
  <si>
    <t>N5: Capex Borrowings</t>
  </si>
  <si>
    <t xml:space="preserve">  N6a: Long Term Loans - State Govt</t>
  </si>
  <si>
    <t>N6b: Long Term Loans - Banks &amp; FIs</t>
  </si>
  <si>
    <t xml:space="preserve">  N6c: Short Term/ Medium Term - State Govt</t>
  </si>
  <si>
    <t>N6d: Short Term/ Medium Term - Banks &amp; FIs</t>
  </si>
  <si>
    <t>N6: Non-Capex Borrowings</t>
  </si>
  <si>
    <t>N7a: Short Term Borrowings/ from Banks/ FIs</t>
  </si>
  <si>
    <t>N7b: Cash Credit/ OD from Banks/ Fis</t>
  </si>
  <si>
    <t>N8: Payables for Purchase of Power</t>
  </si>
  <si>
    <t>N9: Other Current Liabilities</t>
  </si>
  <si>
    <t xml:space="preserve">  Total Equity and Liabilities ( N = N1 + N2 + N3 + N4 + N5 + N6 + N7 + N8 + N9)</t>
  </si>
  <si>
    <t>Balance Sheet Check</t>
  </si>
  <si>
    <t>Table 5: Technical Details</t>
  </si>
  <si>
    <t>O1:  Total Installed Capacity (MW) (Quarter Ended) (Only for GEDCOs)</t>
  </si>
  <si>
    <t>O1a: Hydel</t>
  </si>
  <si>
    <t>O1b: Thermal</t>
  </si>
  <si>
    <t>O1c: Gas</t>
  </si>
  <si>
    <t>O1d: Others</t>
  </si>
  <si>
    <t>O2:  Total Generation (MU) (Quarter Ended) (Only for GEDCOs)</t>
  </si>
  <si>
    <t>O2a: Hydel</t>
  </si>
  <si>
    <t>O2b: Thermal</t>
  </si>
  <si>
    <t>O2c: Gas</t>
  </si>
  <si>
    <t>O2d: Others</t>
  </si>
  <si>
    <t>O3: Total Auxiliary Consumption (MU) (Quarter Ended)</t>
  </si>
  <si>
    <t>O4 : Gross Power Purchase (MU) (Quarter Ended)</t>
  </si>
  <si>
    <t xml:space="preserve"> Gross Input Energy (MU) (O5 = O2 - O3 + O4)</t>
  </si>
  <si>
    <t>O6: Transmission Losses (MU)(Interstate &amp; Intrastate)</t>
  </si>
  <si>
    <t>O7: Gross Energy sold (MU)</t>
  </si>
  <si>
    <t>O7a: Energy Sold to own consumers</t>
  </si>
  <si>
    <t>O7b: Bulk Sale to Distribution Franchisee</t>
  </si>
  <si>
    <t>O7c: Interstate Sale/ Energy Traded/Net UI Export</t>
  </si>
  <si>
    <t xml:space="preserve"> Net Input Energy (MU) (O8 = O5 - O6 - O7c)</t>
  </si>
  <si>
    <t xml:space="preserve"> Net Energy Sold (MU) ( O9 = O7 - O7c)</t>
  </si>
  <si>
    <t xml:space="preserve"> Revenue Billed including subsidy booked (O10 = A1 + A2 + A3 + B1)</t>
  </si>
  <si>
    <t>O11: Opening Gross Trade Receivables (including any adjustments) (Rs crore)</t>
  </si>
  <si>
    <t>O12:  Adjusted Gross Closing Trade Receivables (Rs crore)</t>
  </si>
  <si>
    <t xml:space="preserve"> Revenue Collected including subsidy received (O13 = A1 + A2 + A3 + E + O11 - O12)</t>
  </si>
  <si>
    <t xml:space="preserve"> Billing Efficiency (%) (O14 = O9/O8*100)</t>
  </si>
  <si>
    <t xml:space="preserve"> Collection Efficiency (%)  (O15 = O13/O10*100)</t>
  </si>
  <si>
    <t>Energy Realised (MU) (O15a = O15*O9)</t>
  </si>
  <si>
    <t xml:space="preserve"> AT&amp;C Loss (%) (O16 = 100 - O14*O15/100)</t>
  </si>
  <si>
    <t>Table 6: Key Parameters</t>
  </si>
  <si>
    <t xml:space="preserve"> ACS (Rs./kWh) ( P1 = I*10/O5)</t>
  </si>
  <si>
    <t xml:space="preserve"> ARR on Subsidy Booked Basis (Rs./kWh) ( P2 = D*10/O5)</t>
  </si>
  <si>
    <t xml:space="preserve"> Gap on Subsidy Booked Basis (Rs./kWh) ( P3 = P1 - P2)</t>
  </si>
  <si>
    <t xml:space="preserve"> ARR on Subsidy Received Basis (Rs./kWh) (P4 = F*10/O5)</t>
  </si>
  <si>
    <t xml:space="preserve"> Gap on Subsidy Received Basis (Rs./kWh) (P5 = P1 - P4)</t>
  </si>
  <si>
    <t xml:space="preserve"> ARR on Subsidy Received excluding Regulatory Income and UDAY Grant (Rs/kWh) (Rs./kWh) (P6 = (F-B-C1)*10/O5)</t>
  </si>
  <si>
    <t xml:space="preserve"> Gap on Subsidy Received excluding Regulatory Income and UDAY Grant (Rs./kWh) (P7 = P1 - P6)</t>
  </si>
  <si>
    <t xml:space="preserve"> Receivables (Days) (P8 = 365*M5/A)</t>
  </si>
  <si>
    <t xml:space="preserve"> Payables (Days) (P9 = 365*N10/G)</t>
  </si>
  <si>
    <t xml:space="preserve"> Total Borrowings (P10 = N6 + N8 + N9)</t>
  </si>
  <si>
    <t>Table 7: Consumer Categorywise Details of Sale (MU)</t>
  </si>
  <si>
    <t>Q1: Domestic</t>
  </si>
  <si>
    <t>Q2: Commercial</t>
  </si>
  <si>
    <t>Q3: Agricultural</t>
  </si>
  <si>
    <t>Q4: Industrial</t>
  </si>
  <si>
    <t>Q5: Govt. Dept. (ULB/RLB/PWW/Public Lighting)</t>
  </si>
  <si>
    <t>Q6: Others</t>
  </si>
  <si>
    <t xml:space="preserve">  Railways</t>
  </si>
  <si>
    <t xml:space="preserve">  Bulk Supply</t>
  </si>
  <si>
    <t xml:space="preserve">  Miscellaneous</t>
  </si>
  <si>
    <t xml:space="preserve">  Distribution Franchisee</t>
  </si>
  <si>
    <t xml:space="preserve">  Interstate/ Trading/ UI</t>
  </si>
  <si>
    <t xml:space="preserve"> Gross Energy Sold (Q7 = Q1 + Q2 + Q3 + Q4 + Q5 + Q6) </t>
  </si>
  <si>
    <t>Table 8: Consumer Categorywise Details of Sale (Rs. Crore)</t>
  </si>
  <si>
    <t>Note:-</t>
  </si>
  <si>
    <t>Table 8: Consumer Categorywise Details of Revenue (Rs. Crore)</t>
  </si>
  <si>
    <t>Revenue Booked excluding subsidy</t>
  </si>
  <si>
    <t>Subsidy Booked</t>
  </si>
  <si>
    <t>Subsidy received</t>
  </si>
  <si>
    <t>R1:  Domestic</t>
  </si>
  <si>
    <t>R2: Commercial</t>
  </si>
  <si>
    <t>R3: Agricultural</t>
  </si>
  <si>
    <t xml:space="preserve">R4: Industrial </t>
  </si>
  <si>
    <t>R5: Govt. Dept. (ULB/RLB/PWW/Public Lighting)</t>
  </si>
  <si>
    <t>R6: Others</t>
  </si>
  <si>
    <t xml:space="preserve"> Gross Energy Sold (R7 = R1 + R2 + R3 + R4 + R5 + R6) </t>
  </si>
  <si>
    <t>Table 9: Power Purchase Details</t>
  </si>
  <si>
    <t>in MUs</t>
  </si>
  <si>
    <t>Power Purchase through Long term PPA</t>
  </si>
  <si>
    <t>Own Generation for GEDCOs</t>
  </si>
  <si>
    <t>Power Purchase (Short term &amp; Medium Term)</t>
  </si>
  <si>
    <t>Total Power Purchase</t>
  </si>
  <si>
    <t>Power Departments (PDs) are not required to fill the data of Balance Sheet. However, the Trade Receivables data are required to be filled in Table – 5: Technical Details at Row O11 (Opening Gross Trade Receivables ) and O12 (Gross Closing Trade Receivables)</t>
  </si>
  <si>
    <t>Debtors AT&amp;C</t>
  </si>
  <si>
    <t>Debtors (Days)</t>
  </si>
  <si>
    <t>Payables</t>
  </si>
  <si>
    <t>Total Borrowings</t>
  </si>
  <si>
    <t>Table No.</t>
  </si>
  <si>
    <t>Parameter details</t>
  </si>
  <si>
    <t>Remarks</t>
  </si>
  <si>
    <t>Table 1</t>
  </si>
  <si>
    <t>Revenue from operations, subsidy &amp; grants and other income</t>
  </si>
  <si>
    <t xml:space="preserve">Mandatory </t>
  </si>
  <si>
    <t>Table 2</t>
  </si>
  <si>
    <t>Expenditure: Cost of Power, O&amp;M and Taxes</t>
  </si>
  <si>
    <t>Mandatory</t>
  </si>
  <si>
    <t>Table 3</t>
  </si>
  <si>
    <t xml:space="preserve">Assets: Net Tangible Assets and CWIP, Other Current &amp; Non-current Assets, Net Trade Receivables and Subsidy Receivable </t>
  </si>
  <si>
    <t>Table 4</t>
  </si>
  <si>
    <t>Equity and Liabilities: Share Capital &amp; Reserve, Accumulated Surplus/Deficit, Government Grants for capital assets, other current &amp; non-current liabilities, Capex &amp; Non-Capex Borrowing and Payable for purchase of power</t>
  </si>
  <si>
    <t>Table 5</t>
  </si>
  <si>
    <t>Technical Details: Gross input energy, net input energy, energy sold and opening &amp; closing trade receivables</t>
  </si>
  <si>
    <t>Table 6</t>
  </si>
  <si>
    <t>Key Operational and Financial Parameters (Computed) – No specific inputs</t>
  </si>
  <si>
    <t>Computed from information in Table 1,2,3,4 &amp; 5</t>
  </si>
  <si>
    <t>Table 7</t>
  </si>
  <si>
    <t>Consumer category-wise sale of energy in terms of MU</t>
  </si>
  <si>
    <t>Table 8</t>
  </si>
  <si>
    <t>Consumer category-wise sale of energy in terms of Rupees</t>
  </si>
  <si>
    <t>Format For PD For FY 2023-24 on wards</t>
  </si>
  <si>
    <t>Format For PD For FY2023-24 on wards</t>
  </si>
  <si>
    <t>Annexure-II</t>
  </si>
  <si>
    <t>Rs. In lakhs</t>
  </si>
  <si>
    <t>Rs. In Crores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</si>
</sst>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 * #,##0.00_ ;_ * \-#,##0.00_ ;_ * &quot;-&quot;??_ ;_ @_ "/>
    <numFmt numFmtId="165" formatCode="#,##0;\(#,##0\);\-"/>
    <numFmt numFmtId="166" formatCode="_ * #,##0_ ;_ * \-#,##0_ ;_ * &quot;-&quot;??_ ;_ @_ "/>
    <numFmt numFmtId="167" formatCode="_(* #,##0.0000_);_(* \(#,##0.0000\);_(* &quot;-&quot;??_);_(@_)"/>
    <numFmt numFmtId="168" formatCode="#,##0.00;\(#,##0.00\);\-"/>
    <numFmt numFmtId="169" formatCode="0.000"/>
    <numFmt numFmtId="170" formatCode="_ * #,##0.000_ ;_ * \-#,##0.000_ ;_ * &quot;-&quot;??_ ;_ @_ "/>
    <numFmt numFmtId="171" formatCode="_(* #,##0_);_(* \(#,##0\);_(* &quot;-&quot;??_);_(@_)"/>
    <numFmt numFmtId="172" formatCode="#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i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BABAB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172" fontId="13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3" fillId="0" borderId="0"/>
    <xf numFmtId="164" fontId="1" fillId="0" borderId="0" applyFont="0" applyFill="0" applyBorder="0" applyAlignment="0" applyProtection="0"/>
    <xf numFmtId="0" fontId="13" fillId="0" borderId="0" applyFont="0" applyFill="0" applyBorder="0" applyAlignment="0" applyProtection="0"/>
  </cellStyleXfs>
  <cellXfs count="196">
    <xf numFmtId="0" fontId="0" fillId="0" borderId="0" xfId="0"/>
    <xf numFmtId="0" fontId="3" fillId="2" borderId="1" xfId="0" applyFont="1" applyFill="1" applyBorder="1" applyAlignment="1">
      <alignment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165" fontId="0" fillId="6" borderId="5" xfId="0" applyNumberFormat="1" applyFill="1" applyBorder="1" applyAlignment="1">
      <alignment horizontal="right" vertical="center"/>
    </xf>
    <xf numFmtId="165" fontId="0" fillId="0" borderId="0" xfId="0" applyNumberFormat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37" fontId="7" fillId="0" borderId="1" xfId="0" applyNumberFormat="1" applyFont="1" applyBorder="1" applyAlignment="1" applyProtection="1">
      <alignment horizontal="right" vertical="center"/>
      <protection locked="0"/>
    </xf>
    <xf numFmtId="37" fontId="7" fillId="0" borderId="0" xfId="0" applyNumberFormat="1" applyFont="1" applyAlignment="1">
      <alignment horizontal="right" vertical="center"/>
    </xf>
    <xf numFmtId="0" fontId="0" fillId="0" borderId="1" xfId="0" applyBorder="1" applyAlignment="1">
      <alignment vertical="center"/>
    </xf>
    <xf numFmtId="37" fontId="0" fillId="0" borderId="0" xfId="0" applyNumberFormat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165" fontId="7" fillId="0" borderId="1" xfId="0" applyNumberFormat="1" applyFont="1" applyBorder="1" applyAlignment="1" applyProtection="1">
      <alignment horizontal="right" vertical="center"/>
      <protection locked="0"/>
    </xf>
    <xf numFmtId="165" fontId="7" fillId="0" borderId="0" xfId="0" applyNumberFormat="1" applyFont="1" applyAlignment="1">
      <alignment horizontal="right" vertical="center"/>
    </xf>
    <xf numFmtId="165" fontId="0" fillId="6" borderId="5" xfId="0" applyNumberForma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left" vertical="center" wrapText="1"/>
    </xf>
    <xf numFmtId="165" fontId="3" fillId="6" borderId="5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37" fontId="0" fillId="0" borderId="1" xfId="0" applyNumberFormat="1" applyBorder="1" applyAlignment="1" applyProtection="1">
      <alignment horizontal="right" vertical="center" wrapText="1"/>
      <protection locked="0"/>
    </xf>
    <xf numFmtId="37" fontId="0" fillId="0" borderId="0" xfId="0" applyNumberFormat="1" applyAlignment="1">
      <alignment horizontal="right" vertical="center" wrapText="1"/>
    </xf>
    <xf numFmtId="37" fontId="3" fillId="0" borderId="0" xfId="0" applyNumberFormat="1" applyFont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165" fontId="3" fillId="0" borderId="1" xfId="0" applyNumberFormat="1" applyFont="1" applyBorder="1" applyAlignment="1" applyProtection="1">
      <alignment horizontal="right" vertical="center"/>
      <protection locked="0"/>
    </xf>
    <xf numFmtId="37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5" fontId="0" fillId="0" borderId="5" xfId="0" applyNumberFormat="1" applyBorder="1" applyAlignment="1">
      <alignment horizontal="right" vertical="center"/>
    </xf>
    <xf numFmtId="37" fontId="0" fillId="0" borderId="1" xfId="0" applyNumberFormat="1" applyBorder="1" applyAlignment="1" applyProtection="1">
      <alignment vertical="center"/>
      <protection locked="0"/>
    </xf>
    <xf numFmtId="166" fontId="3" fillId="6" borderId="1" xfId="1" applyNumberFormat="1" applyFont="1" applyFill="1" applyBorder="1" applyAlignment="1" applyProtection="1">
      <alignment vertical="center"/>
    </xf>
    <xf numFmtId="0" fontId="2" fillId="5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0" fillId="7" borderId="0" xfId="0" applyFill="1" applyAlignment="1">
      <alignment vertical="center"/>
    </xf>
    <xf numFmtId="166" fontId="1" fillId="6" borderId="1" xfId="1" applyNumberFormat="1" applyFont="1" applyFill="1" applyBorder="1" applyAlignment="1" applyProtection="1">
      <alignment vertical="center"/>
    </xf>
    <xf numFmtId="166" fontId="7" fillId="0" borderId="1" xfId="1" applyNumberFormat="1" applyFont="1" applyBorder="1" applyAlignment="1" applyProtection="1">
      <alignment horizontal="right" vertical="center"/>
      <protection locked="0"/>
    </xf>
    <xf numFmtId="166" fontId="0" fillId="0" borderId="1" xfId="1" applyNumberFormat="1" applyFont="1" applyBorder="1" applyAlignment="1" applyProtection="1">
      <alignment vertical="center"/>
      <protection locked="0"/>
    </xf>
    <xf numFmtId="37" fontId="3" fillId="0" borderId="1" xfId="0" applyNumberFormat="1" applyFont="1" applyBorder="1" applyAlignment="1">
      <alignment vertical="center"/>
    </xf>
    <xf numFmtId="10" fontId="0" fillId="0" borderId="0" xfId="2" applyNumberFormat="1" applyFont="1" applyAlignment="1">
      <alignment vertical="center"/>
    </xf>
    <xf numFmtId="164" fontId="3" fillId="6" borderId="1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2" fontId="3" fillId="0" borderId="1" xfId="0" applyNumberFormat="1" applyFont="1" applyBorder="1" applyAlignment="1">
      <alignment vertical="center"/>
    </xf>
    <xf numFmtId="43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66" fontId="0" fillId="6" borderId="1" xfId="1" applyNumberFormat="1" applyFont="1" applyFill="1" applyBorder="1" applyAlignment="1" applyProtection="1">
      <alignment vertical="center"/>
    </xf>
    <xf numFmtId="39" fontId="3" fillId="0" borderId="6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1" fontId="3" fillId="0" borderId="6" xfId="0" applyNumberFormat="1" applyFont="1" applyBorder="1" applyAlignment="1">
      <alignment vertical="center"/>
    </xf>
    <xf numFmtId="37" fontId="3" fillId="0" borderId="6" xfId="0" applyNumberFormat="1" applyFont="1" applyBorder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166" fontId="3" fillId="0" borderId="0" xfId="1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2" fillId="5" borderId="1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166" fontId="0" fillId="7" borderId="0" xfId="0" applyNumberFormat="1" applyFill="1" applyAlignment="1">
      <alignment vertical="center"/>
    </xf>
    <xf numFmtId="37" fontId="0" fillId="9" borderId="0" xfId="0" applyNumberFormat="1" applyFill="1" applyAlignment="1">
      <alignment vertical="center"/>
    </xf>
    <xf numFmtId="166" fontId="0" fillId="0" borderId="0" xfId="0" applyNumberFormat="1" applyAlignment="1">
      <alignment vertical="center"/>
    </xf>
    <xf numFmtId="37" fontId="0" fillId="10" borderId="0" xfId="0" applyNumberFormat="1" applyFill="1" applyAlignment="1">
      <alignment vertical="center"/>
    </xf>
    <xf numFmtId="0" fontId="0" fillId="10" borderId="0" xfId="0" applyFill="1" applyAlignment="1">
      <alignment vertical="center"/>
    </xf>
    <xf numFmtId="0" fontId="0" fillId="0" borderId="1" xfId="0" applyBorder="1" applyAlignment="1">
      <alignment horizontal="left" vertical="center"/>
    </xf>
    <xf numFmtId="0" fontId="9" fillId="0" borderId="8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justify" vertical="center" wrapText="1"/>
    </xf>
    <xf numFmtId="0" fontId="9" fillId="0" borderId="0" xfId="0" applyFont="1" applyAlignment="1">
      <alignment horizontal="right"/>
    </xf>
    <xf numFmtId="168" fontId="0" fillId="6" borderId="5" xfId="0" applyNumberFormat="1" applyFill="1" applyBorder="1" applyAlignment="1">
      <alignment horizontal="right" vertical="center"/>
    </xf>
    <xf numFmtId="168" fontId="7" fillId="0" borderId="1" xfId="0" applyNumberFormat="1" applyFont="1" applyBorder="1" applyAlignment="1" applyProtection="1">
      <alignment horizontal="right" vertical="center"/>
      <protection locked="0"/>
    </xf>
    <xf numFmtId="168" fontId="3" fillId="6" borderId="5" xfId="0" applyNumberFormat="1" applyFont="1" applyFill="1" applyBorder="1" applyAlignment="1">
      <alignment horizontal="right" vertical="center"/>
    </xf>
    <xf numFmtId="168" fontId="4" fillId="0" borderId="1" xfId="0" applyNumberFormat="1" applyFont="1" applyBorder="1" applyAlignment="1">
      <alignment vertical="center"/>
    </xf>
    <xf numFmtId="39" fontId="0" fillId="0" borderId="1" xfId="0" applyNumberFormat="1" applyBorder="1" applyAlignment="1" applyProtection="1">
      <alignment vertical="center"/>
      <protection locked="0"/>
    </xf>
    <xf numFmtId="39" fontId="0" fillId="6" borderId="5" xfId="0" applyNumberFormat="1" applyFill="1" applyBorder="1" applyAlignment="1">
      <alignment horizontal="right" vertical="center"/>
    </xf>
    <xf numFmtId="39" fontId="3" fillId="6" borderId="1" xfId="1" applyNumberFormat="1" applyFont="1" applyFill="1" applyBorder="1" applyAlignment="1" applyProtection="1">
      <alignment vertical="center"/>
    </xf>
    <xf numFmtId="39" fontId="2" fillId="5" borderId="1" xfId="0" applyNumberFormat="1" applyFont="1" applyFill="1" applyBorder="1" applyAlignment="1">
      <alignment horizontal="right" vertical="center"/>
    </xf>
    <xf numFmtId="39" fontId="7" fillId="0" borderId="1" xfId="0" applyNumberFormat="1" applyFont="1" applyBorder="1" applyAlignment="1" applyProtection="1">
      <alignment horizontal="right" vertical="center"/>
      <protection locked="0"/>
    </xf>
    <xf numFmtId="164" fontId="0" fillId="0" borderId="1" xfId="1" applyNumberFormat="1" applyFont="1" applyBorder="1" applyAlignment="1" applyProtection="1">
      <alignment vertical="center"/>
      <protection locked="0"/>
    </xf>
    <xf numFmtId="164" fontId="0" fillId="6" borderId="1" xfId="1" applyNumberFormat="1" applyFont="1" applyFill="1" applyBorder="1" applyAlignment="1" applyProtection="1">
      <alignment vertical="center"/>
    </xf>
    <xf numFmtId="168" fontId="0" fillId="0" borderId="1" xfId="0" applyNumberFormat="1" applyBorder="1" applyAlignment="1" applyProtection="1">
      <alignment horizontal="right" vertical="center" wrapText="1"/>
      <protection locked="0"/>
    </xf>
    <xf numFmtId="168" fontId="3" fillId="0" borderId="1" xfId="0" applyNumberFormat="1" applyFont="1" applyBorder="1" applyAlignment="1" applyProtection="1">
      <alignment horizontal="right" vertical="center"/>
      <protection locked="0"/>
    </xf>
    <xf numFmtId="2" fontId="7" fillId="0" borderId="1" xfId="1" applyNumberFormat="1" applyFont="1" applyBorder="1" applyAlignment="1" applyProtection="1">
      <alignment horizontal="right" vertical="center"/>
      <protection locked="0"/>
    </xf>
    <xf numFmtId="168" fontId="0" fillId="0" borderId="1" xfId="0" applyNumberFormat="1" applyBorder="1" applyAlignment="1" applyProtection="1">
      <alignment vertical="center"/>
      <protection locked="0"/>
    </xf>
    <xf numFmtId="168" fontId="3" fillId="6" borderId="1" xfId="1" applyNumberFormat="1" applyFont="1" applyFill="1" applyBorder="1" applyAlignment="1" applyProtection="1">
      <alignment vertical="center"/>
    </xf>
    <xf numFmtId="164" fontId="7" fillId="0" borderId="1" xfId="1" applyNumberFormat="1" applyFont="1" applyBorder="1" applyAlignment="1" applyProtection="1">
      <alignment horizontal="right" vertical="center"/>
      <protection locked="0"/>
    </xf>
    <xf numFmtId="164" fontId="4" fillId="0" borderId="0" xfId="0" applyNumberFormat="1" applyFont="1" applyAlignment="1">
      <alignment vertical="center"/>
    </xf>
    <xf numFmtId="39" fontId="4" fillId="0" borderId="0" xfId="0" applyNumberFormat="1" applyFont="1" applyAlignment="1">
      <alignment vertical="center"/>
    </xf>
    <xf numFmtId="169" fontId="0" fillId="0" borderId="1" xfId="0" applyNumberFormat="1" applyBorder="1"/>
    <xf numFmtId="164" fontId="1" fillId="6" borderId="1" xfId="1" applyNumberFormat="1" applyFont="1" applyFill="1" applyBorder="1" applyAlignment="1" applyProtection="1">
      <alignment vertical="center"/>
    </xf>
    <xf numFmtId="165" fontId="0" fillId="0" borderId="0" xfId="0" applyNumberFormat="1" applyAlignment="1">
      <alignment vertical="center"/>
    </xf>
    <xf numFmtId="166" fontId="0" fillId="0" borderId="1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166" fontId="3" fillId="0" borderId="1" xfId="1" applyNumberFormat="1" applyFont="1" applyFill="1" applyBorder="1" applyAlignment="1" applyProtection="1">
      <alignment vertical="center"/>
    </xf>
    <xf numFmtId="10" fontId="0" fillId="0" borderId="0" xfId="2" applyNumberFormat="1" applyFont="1" applyFill="1" applyAlignment="1">
      <alignment vertical="center"/>
    </xf>
    <xf numFmtId="43" fontId="3" fillId="6" borderId="1" xfId="1" applyFont="1" applyFill="1" applyBorder="1" applyAlignment="1" applyProtection="1">
      <alignment vertical="center"/>
    </xf>
    <xf numFmtId="164" fontId="0" fillId="0" borderId="0" xfId="0" applyNumberFormat="1" applyAlignment="1">
      <alignment vertical="center"/>
    </xf>
    <xf numFmtId="166" fontId="12" fillId="0" borderId="1" xfId="1" applyNumberFormat="1" applyFont="1" applyFill="1" applyBorder="1" applyAlignment="1" applyProtection="1">
      <alignment vertical="center"/>
    </xf>
    <xf numFmtId="0" fontId="2" fillId="10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right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vertical="center"/>
    </xf>
    <xf numFmtId="164" fontId="0" fillId="10" borderId="1" xfId="1" applyNumberFormat="1" applyFont="1" applyFill="1" applyBorder="1" applyAlignment="1" applyProtection="1">
      <alignment vertical="center"/>
      <protection locked="0"/>
    </xf>
    <xf numFmtId="166" fontId="0" fillId="10" borderId="1" xfId="1" applyNumberFormat="1" applyFont="1" applyFill="1" applyBorder="1" applyAlignment="1" applyProtection="1">
      <alignment vertical="center"/>
      <protection locked="0"/>
    </xf>
    <xf numFmtId="166" fontId="0" fillId="10" borderId="1" xfId="1" applyNumberFormat="1" applyFont="1" applyFill="1" applyBorder="1" applyAlignment="1" applyProtection="1">
      <alignment vertical="center"/>
    </xf>
    <xf numFmtId="0" fontId="7" fillId="10" borderId="1" xfId="0" applyFont="1" applyFill="1" applyBorder="1" applyAlignment="1">
      <alignment horizontal="right" vertical="center"/>
    </xf>
    <xf numFmtId="0" fontId="3" fillId="10" borderId="1" xfId="0" applyFont="1" applyFill="1" applyBorder="1" applyAlignment="1">
      <alignment vertical="center"/>
    </xf>
    <xf numFmtId="166" fontId="3" fillId="10" borderId="1" xfId="1" applyNumberFormat="1" applyFont="1" applyFill="1" applyBorder="1" applyAlignment="1" applyProtection="1">
      <alignment vertical="center"/>
    </xf>
    <xf numFmtId="0" fontId="3" fillId="10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37" fontId="16" fillId="0" borderId="1" xfId="0" applyNumberFormat="1" applyFont="1" applyBorder="1" applyAlignment="1" applyProtection="1">
      <alignment horizontal="right" vertical="center"/>
      <protection locked="0"/>
    </xf>
    <xf numFmtId="39" fontId="16" fillId="0" borderId="1" xfId="0" applyNumberFormat="1" applyFont="1" applyBorder="1" applyAlignment="1" applyProtection="1">
      <alignment horizontal="right" vertical="center"/>
      <protection locked="0"/>
    </xf>
    <xf numFmtId="165" fontId="16" fillId="0" borderId="1" xfId="0" applyNumberFormat="1" applyFont="1" applyBorder="1" applyAlignment="1" applyProtection="1">
      <alignment horizontal="right" vertical="center"/>
      <protection locked="0"/>
    </xf>
    <xf numFmtId="37" fontId="6" fillId="0" borderId="1" xfId="0" applyNumberFormat="1" applyFont="1" applyBorder="1" applyAlignment="1" applyProtection="1">
      <alignment horizontal="right" vertical="center" wrapText="1"/>
      <protection locked="0"/>
    </xf>
    <xf numFmtId="165" fontId="12" fillId="0" borderId="1" xfId="0" applyNumberFormat="1" applyFont="1" applyBorder="1" applyAlignment="1" applyProtection="1">
      <alignment horizontal="right" vertical="center"/>
      <protection locked="0"/>
    </xf>
    <xf numFmtId="0" fontId="6" fillId="0" borderId="0" xfId="0" applyFont="1"/>
    <xf numFmtId="164" fontId="6" fillId="0" borderId="0" xfId="0" applyNumberFormat="1" applyFont="1" applyAlignment="1">
      <alignment vertical="center"/>
    </xf>
    <xf numFmtId="166" fontId="6" fillId="0" borderId="1" xfId="1" applyNumberFormat="1" applyFont="1" applyFill="1" applyBorder="1" applyAlignment="1" applyProtection="1">
      <alignment vertical="center"/>
      <protection locked="0"/>
    </xf>
    <xf numFmtId="164" fontId="12" fillId="0" borderId="1" xfId="1" applyNumberFormat="1" applyFont="1" applyFill="1" applyBorder="1" applyAlignment="1" applyProtection="1">
      <alignment vertical="center"/>
    </xf>
    <xf numFmtId="166" fontId="12" fillId="0" borderId="0" xfId="1" applyNumberFormat="1" applyFont="1" applyFill="1" applyBorder="1" applyAlignment="1" applyProtection="1">
      <alignment vertical="center"/>
    </xf>
    <xf numFmtId="0" fontId="12" fillId="10" borderId="1" xfId="0" applyFont="1" applyFill="1" applyBorder="1" applyAlignment="1">
      <alignment horizontal="right" vertical="center" wrapText="1"/>
    </xf>
    <xf numFmtId="166" fontId="6" fillId="10" borderId="1" xfId="1" applyNumberFormat="1" applyFont="1" applyFill="1" applyBorder="1" applyAlignment="1" applyProtection="1">
      <alignment vertical="center"/>
      <protection locked="0"/>
    </xf>
    <xf numFmtId="166" fontId="6" fillId="10" borderId="1" xfId="1" applyNumberFormat="1" applyFont="1" applyFill="1" applyBorder="1" applyAlignment="1" applyProtection="1">
      <alignment vertical="center"/>
    </xf>
    <xf numFmtId="166" fontId="12" fillId="10" borderId="1" xfId="1" applyNumberFormat="1" applyFont="1" applyFill="1" applyBorder="1" applyAlignment="1" applyProtection="1">
      <alignment vertical="center"/>
    </xf>
    <xf numFmtId="0" fontId="6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37" fontId="6" fillId="0" borderId="0" xfId="0" applyNumberFormat="1" applyFont="1" applyAlignment="1">
      <alignment vertical="center"/>
    </xf>
    <xf numFmtId="43" fontId="7" fillId="0" borderId="1" xfId="1" applyFont="1" applyFill="1" applyBorder="1" applyAlignment="1" applyProtection="1">
      <alignment horizontal="right" vertical="center"/>
      <protection locked="0"/>
    </xf>
    <xf numFmtId="43" fontId="0" fillId="0" borderId="1" xfId="1" applyFont="1" applyBorder="1" applyAlignment="1" applyProtection="1">
      <alignment vertical="center"/>
      <protection locked="0"/>
    </xf>
    <xf numFmtId="43" fontId="1" fillId="0" borderId="1" xfId="1" applyFont="1" applyFill="1" applyBorder="1" applyAlignment="1" applyProtection="1">
      <alignment vertical="center"/>
      <protection locked="0"/>
    </xf>
    <xf numFmtId="2" fontId="0" fillId="0" borderId="1" xfId="0" applyNumberFormat="1" applyBorder="1"/>
    <xf numFmtId="166" fontId="3" fillId="0" borderId="0" xfId="0" applyNumberFormat="1" applyFont="1" applyAlignment="1">
      <alignment vertical="center"/>
    </xf>
    <xf numFmtId="2" fontId="3" fillId="6" borderId="1" xfId="1" applyNumberFormat="1" applyFont="1" applyFill="1" applyBorder="1" applyAlignment="1" applyProtection="1">
      <alignment vertical="center"/>
    </xf>
    <xf numFmtId="2" fontId="0" fillId="0" borderId="1" xfId="1" applyNumberFormat="1" applyFont="1" applyBorder="1" applyAlignment="1" applyProtection="1">
      <alignment vertical="center"/>
      <protection locked="0"/>
    </xf>
    <xf numFmtId="2" fontId="3" fillId="0" borderId="1" xfId="0" applyNumberFormat="1" applyFont="1" applyBorder="1" applyAlignment="1" applyProtection="1">
      <alignment vertical="center"/>
      <protection locked="0"/>
    </xf>
    <xf numFmtId="164" fontId="0" fillId="10" borderId="1" xfId="1" applyNumberFormat="1" applyFont="1" applyFill="1" applyBorder="1" applyAlignment="1" applyProtection="1">
      <alignment vertical="center"/>
    </xf>
    <xf numFmtId="164" fontId="3" fillId="10" borderId="1" xfId="1" applyNumberFormat="1" applyFont="1" applyFill="1" applyBorder="1" applyAlignment="1" applyProtection="1">
      <alignment vertical="center"/>
    </xf>
    <xf numFmtId="164" fontId="0" fillId="0" borderId="1" xfId="0" applyNumberFormat="1" applyBorder="1"/>
    <xf numFmtId="170" fontId="0" fillId="10" borderId="1" xfId="1" applyNumberFormat="1" applyFont="1" applyFill="1" applyBorder="1" applyAlignment="1" applyProtection="1">
      <alignment vertical="center"/>
      <protection locked="0"/>
    </xf>
    <xf numFmtId="170" fontId="3" fillId="10" borderId="1" xfId="1" applyNumberFormat="1" applyFont="1" applyFill="1" applyBorder="1" applyAlignment="1" applyProtection="1">
      <alignment vertical="center"/>
    </xf>
    <xf numFmtId="1" fontId="0" fillId="0" borderId="1" xfId="0" applyNumberFormat="1" applyBorder="1"/>
    <xf numFmtId="2" fontId="7" fillId="0" borderId="1" xfId="1" applyNumberFormat="1" applyFont="1" applyFill="1" applyBorder="1" applyAlignment="1" applyProtection="1">
      <alignment horizontal="right" vertical="center"/>
      <protection locked="0"/>
    </xf>
    <xf numFmtId="169" fontId="0" fillId="0" borderId="1" xfId="1" applyNumberFormat="1" applyFont="1" applyFill="1" applyBorder="1" applyAlignment="1" applyProtection="1">
      <alignment vertical="center"/>
      <protection locked="0"/>
    </xf>
    <xf numFmtId="166" fontId="1" fillId="0" borderId="1" xfId="1" applyNumberFormat="1" applyFont="1" applyFill="1" applyBorder="1" applyAlignment="1" applyProtection="1">
      <alignment vertical="center"/>
    </xf>
    <xf numFmtId="171" fontId="1" fillId="0" borderId="1" xfId="1" applyNumberFormat="1" applyFont="1" applyFill="1" applyBorder="1" applyAlignment="1" applyProtection="1">
      <alignment vertical="center"/>
    </xf>
    <xf numFmtId="43" fontId="1" fillId="0" borderId="1" xfId="1" applyFont="1" applyFill="1" applyBorder="1" applyAlignment="1" applyProtection="1">
      <alignment vertical="center"/>
    </xf>
    <xf numFmtId="43" fontId="7" fillId="0" borderId="1" xfId="1" applyFont="1" applyBorder="1" applyAlignment="1" applyProtection="1">
      <alignment horizontal="right" vertical="center"/>
      <protection locked="0"/>
    </xf>
    <xf numFmtId="2" fontId="0" fillId="0" borderId="0" xfId="0" applyNumberFormat="1" applyAlignment="1">
      <alignment horizontal="center"/>
    </xf>
    <xf numFmtId="164" fontId="1" fillId="0" borderId="1" xfId="1" applyNumberFormat="1" applyFont="1" applyFill="1" applyBorder="1" applyAlignment="1" applyProtection="1">
      <alignment vertical="center"/>
    </xf>
    <xf numFmtId="164" fontId="0" fillId="10" borderId="0" xfId="0" applyNumberFormat="1" applyFill="1" applyAlignment="1">
      <alignment vertical="center"/>
    </xf>
    <xf numFmtId="166" fontId="6" fillId="0" borderId="1" xfId="1" applyNumberFormat="1" applyFont="1" applyBorder="1" applyAlignment="1" applyProtection="1">
      <alignment vertical="center"/>
      <protection locked="0"/>
    </xf>
    <xf numFmtId="164" fontId="0" fillId="0" borderId="1" xfId="1" applyNumberFormat="1" applyFont="1" applyFill="1" applyBorder="1" applyAlignment="1" applyProtection="1">
      <alignment vertical="center"/>
      <protection locked="0"/>
    </xf>
    <xf numFmtId="2" fontId="0" fillId="0" borderId="0" xfId="0" applyNumberFormat="1" applyAlignment="1">
      <alignment vertical="center"/>
    </xf>
    <xf numFmtId="164" fontId="3" fillId="0" borderId="1" xfId="1" applyNumberFormat="1" applyFont="1" applyFill="1" applyBorder="1" applyAlignment="1" applyProtection="1">
      <alignment vertical="center"/>
    </xf>
    <xf numFmtId="166" fontId="1" fillId="7" borderId="1" xfId="1" applyNumberFormat="1" applyFont="1" applyFill="1" applyBorder="1" applyAlignment="1" applyProtection="1">
      <alignment vertical="center"/>
    </xf>
    <xf numFmtId="0" fontId="9" fillId="0" borderId="12" xfId="0" applyFont="1" applyBorder="1" applyAlignment="1">
      <alignment horizontal="center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4" xfId="1" applyNumberFormat="1" applyFont="1" applyFill="1" applyBorder="1" applyAlignment="1" applyProtection="1">
      <alignment horizontal="center" vertical="center"/>
      <protection locked="0"/>
    </xf>
    <xf numFmtId="164" fontId="0" fillId="0" borderId="5" xfId="1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164" fontId="0" fillId="0" borderId="14" xfId="1" applyNumberFormat="1" applyFont="1" applyBorder="1" applyAlignment="1" applyProtection="1">
      <alignment horizontal="center" vertical="center"/>
      <protection locked="0"/>
    </xf>
    <xf numFmtId="164" fontId="0" fillId="0" borderId="5" xfId="1" applyNumberFormat="1" applyFont="1" applyBorder="1" applyAlignment="1" applyProtection="1">
      <alignment horizontal="center" vertical="center"/>
      <protection locked="0"/>
    </xf>
    <xf numFmtId="164" fontId="6" fillId="0" borderId="13" xfId="1" applyNumberFormat="1" applyFont="1" applyFill="1" applyBorder="1" applyAlignment="1" applyProtection="1">
      <alignment horizontal="center" vertical="center"/>
      <protection locked="0"/>
    </xf>
    <xf numFmtId="164" fontId="6" fillId="0" borderId="14" xfId="1" applyNumberFormat="1" applyFont="1" applyFill="1" applyBorder="1" applyAlignment="1" applyProtection="1">
      <alignment horizontal="center" vertical="center"/>
      <protection locked="0"/>
    </xf>
    <xf numFmtId="164" fontId="6" fillId="0" borderId="5" xfId="1" applyNumberFormat="1" applyFont="1" applyFill="1" applyBorder="1" applyAlignment="1" applyProtection="1">
      <alignment horizontal="center" vertical="center"/>
      <protection locked="0"/>
    </xf>
    <xf numFmtId="2" fontId="6" fillId="0" borderId="13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 applyProtection="1">
      <alignment vertical="center"/>
      <protection locked="0"/>
    </xf>
    <xf numFmtId="1" fontId="0" fillId="0" borderId="0" xfId="0" applyNumberFormat="1" applyFill="1" applyAlignment="1">
      <alignment vertical="center"/>
    </xf>
    <xf numFmtId="164" fontId="0" fillId="0" borderId="1" xfId="1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</cellXfs>
  <cellStyles count="18">
    <cellStyle name="Comma" xfId="1" builtinId="3"/>
    <cellStyle name="Comma 2" xfId="3" xr:uid="{00000000-0005-0000-0000-000001000000}"/>
    <cellStyle name="Comma 2 2" xfId="10" xr:uid="{00000000-0005-0000-0000-000002000000}"/>
    <cellStyle name="Comma 2 3" xfId="16" xr:uid="{00000000-0005-0000-0000-000003000000}"/>
    <cellStyle name="Comma 3" xfId="11" xr:uid="{00000000-0005-0000-0000-000004000000}"/>
    <cellStyle name="Comma 3 2" xfId="17" xr:uid="{00000000-0005-0000-0000-000005000000}"/>
    <cellStyle name="Comma 4" xfId="12" xr:uid="{00000000-0005-0000-0000-000006000000}"/>
    <cellStyle name="Comma 5" xfId="13" xr:uid="{00000000-0005-0000-0000-000007000000}"/>
    <cellStyle name="Normal" xfId="0" builtinId="0"/>
    <cellStyle name="Normal 10" xfId="14" xr:uid="{00000000-0005-0000-0000-000009000000}"/>
    <cellStyle name="Normal 2" xfId="7" xr:uid="{00000000-0005-0000-0000-00000A000000}"/>
    <cellStyle name="Normal 2 2" xfId="5" xr:uid="{00000000-0005-0000-0000-00000B000000}"/>
    <cellStyle name="Normal 24" xfId="15" xr:uid="{00000000-0005-0000-0000-00000C000000}"/>
    <cellStyle name="Normal 29" xfId="6" xr:uid="{00000000-0005-0000-0000-00000D000000}"/>
    <cellStyle name="Normal 3" xfId="8" xr:uid="{00000000-0005-0000-0000-00000E000000}"/>
    <cellStyle name="Normal 4" xfId="9" xr:uid="{00000000-0005-0000-0000-00000F000000}"/>
    <cellStyle name="Normal 4 2" xfId="4" xr:uid="{00000000-0005-0000-0000-000010000000}"/>
    <cellStyle name="Per cent" xfId="2" builtinId="5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11"/>
  <sheetViews>
    <sheetView workbookViewId="0">
      <selection activeCell="D9" sqref="D9"/>
    </sheetView>
  </sheetViews>
  <sheetFormatPr baseColWidth="10" defaultColWidth="8.6640625" defaultRowHeight="15" x14ac:dyDescent="0.2"/>
  <cols>
    <col min="3" max="3" width="34.6640625" customWidth="1"/>
    <col min="4" max="4" width="22.1640625" customWidth="1"/>
  </cols>
  <sheetData>
    <row r="1" spans="2:4" x14ac:dyDescent="0.2">
      <c r="D1" s="78" t="s">
        <v>192</v>
      </c>
    </row>
    <row r="2" spans="2:4" ht="16" thickBot="1" x14ac:dyDescent="0.25">
      <c r="B2" s="167" t="s">
        <v>190</v>
      </c>
      <c r="C2" s="167"/>
      <c r="D2" s="167"/>
    </row>
    <row r="3" spans="2:4" ht="31" thickBot="1" x14ac:dyDescent="0.25">
      <c r="B3" s="74" t="s">
        <v>168</v>
      </c>
      <c r="C3" s="75" t="s">
        <v>169</v>
      </c>
      <c r="D3" s="75" t="s">
        <v>170</v>
      </c>
    </row>
    <row r="4" spans="2:4" ht="31" thickBot="1" x14ac:dyDescent="0.25">
      <c r="B4" s="76" t="s">
        <v>171</v>
      </c>
      <c r="C4" s="77" t="s">
        <v>172</v>
      </c>
      <c r="D4" s="77" t="s">
        <v>173</v>
      </c>
    </row>
    <row r="5" spans="2:4" ht="31" thickBot="1" x14ac:dyDescent="0.25">
      <c r="B5" s="76" t="s">
        <v>174</v>
      </c>
      <c r="C5" s="77" t="s">
        <v>175</v>
      </c>
      <c r="D5" s="77" t="s">
        <v>176</v>
      </c>
    </row>
    <row r="6" spans="2:4" ht="61" thickBot="1" x14ac:dyDescent="0.25">
      <c r="B6" s="76" t="s">
        <v>177</v>
      </c>
      <c r="C6" s="77" t="s">
        <v>178</v>
      </c>
      <c r="D6" s="77" t="s">
        <v>173</v>
      </c>
    </row>
    <row r="7" spans="2:4" ht="91" thickBot="1" x14ac:dyDescent="0.25">
      <c r="B7" s="76" t="s">
        <v>179</v>
      </c>
      <c r="C7" s="77" t="s">
        <v>180</v>
      </c>
      <c r="D7" s="77" t="s">
        <v>176</v>
      </c>
    </row>
    <row r="8" spans="2:4" ht="46" thickBot="1" x14ac:dyDescent="0.25">
      <c r="B8" s="76" t="s">
        <v>181</v>
      </c>
      <c r="C8" s="77" t="s">
        <v>182</v>
      </c>
      <c r="D8" s="77" t="s">
        <v>173</v>
      </c>
    </row>
    <row r="9" spans="2:4" ht="46" thickBot="1" x14ac:dyDescent="0.25">
      <c r="B9" s="76" t="s">
        <v>183</v>
      </c>
      <c r="C9" s="77" t="s">
        <v>184</v>
      </c>
      <c r="D9" s="77" t="s">
        <v>185</v>
      </c>
    </row>
    <row r="10" spans="2:4" ht="31" thickBot="1" x14ac:dyDescent="0.25">
      <c r="B10" s="76" t="s">
        <v>186</v>
      </c>
      <c r="C10" s="77" t="s">
        <v>187</v>
      </c>
      <c r="D10" s="77" t="s">
        <v>176</v>
      </c>
    </row>
    <row r="11" spans="2:4" ht="31" thickBot="1" x14ac:dyDescent="0.25">
      <c r="B11" s="76" t="s">
        <v>188</v>
      </c>
      <c r="C11" s="77" t="s">
        <v>189</v>
      </c>
      <c r="D11" s="77" t="s">
        <v>176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F221"/>
  <sheetViews>
    <sheetView tabSelected="1" topLeftCell="A88" workbookViewId="0">
      <selection activeCell="G111" sqref="G111"/>
    </sheetView>
  </sheetViews>
  <sheetFormatPr baseColWidth="10" defaultColWidth="9.1640625" defaultRowHeight="15" x14ac:dyDescent="0.2"/>
  <cols>
    <col min="1" max="1" width="17" style="3" customWidth="1"/>
    <col min="2" max="2" width="74" style="3" customWidth="1"/>
    <col min="3" max="4" width="12.5" style="3" customWidth="1"/>
    <col min="5" max="5" width="12.5" style="10" customWidth="1"/>
    <col min="6" max="6" width="12.5" style="3" customWidth="1"/>
    <col min="7" max="7" width="17.1640625" style="10" customWidth="1"/>
    <col min="8" max="12" width="12.5" style="3" customWidth="1"/>
    <col min="13" max="15" width="11.6640625" style="3" customWidth="1"/>
    <col min="16" max="16" width="15.1640625" style="3" bestFit="1" customWidth="1"/>
    <col min="17" max="17" width="16.1640625" style="3" bestFit="1" customWidth="1"/>
    <col min="18" max="18" width="13" style="3" customWidth="1"/>
    <col min="19" max="19" width="8.6640625" style="3" bestFit="1" customWidth="1"/>
    <col min="20" max="20" width="16.1640625" style="3" bestFit="1" customWidth="1"/>
    <col min="21" max="21" width="9.5" style="3" bestFit="1" customWidth="1"/>
    <col min="22" max="22" width="7.6640625" style="3" bestFit="1" customWidth="1"/>
    <col min="23" max="23" width="16.1640625" style="3" bestFit="1" customWidth="1"/>
    <col min="24" max="24" width="11.6640625" style="3" customWidth="1"/>
    <col min="25" max="25" width="9.1640625" style="3"/>
    <col min="26" max="26" width="17.6640625" style="3" customWidth="1"/>
    <col min="27" max="28" width="11.5" style="3" customWidth="1"/>
    <col min="29" max="16384" width="9.1640625" style="3"/>
  </cols>
  <sheetData>
    <row r="2" spans="1:26" x14ac:dyDescent="0.2">
      <c r="D2" s="190" t="s">
        <v>191</v>
      </c>
      <c r="E2" s="190"/>
      <c r="F2" s="190"/>
      <c r="G2" s="190"/>
      <c r="H2" s="190"/>
    </row>
    <row r="3" spans="1:26" x14ac:dyDescent="0.2">
      <c r="A3" s="1" t="s">
        <v>0</v>
      </c>
      <c r="B3" s="2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6" x14ac:dyDescent="0.2">
      <c r="A4" s="1" t="s">
        <v>1</v>
      </c>
      <c r="B4" s="2"/>
      <c r="O4" s="4"/>
      <c r="P4" s="4"/>
      <c r="Q4" s="4"/>
      <c r="R4" s="4"/>
      <c r="S4" s="4"/>
      <c r="T4" s="5"/>
      <c r="U4" s="5"/>
      <c r="V4" s="6" t="s">
        <v>2</v>
      </c>
      <c r="W4" s="5"/>
      <c r="X4" s="5"/>
      <c r="Y4" s="4"/>
      <c r="Z4" s="4"/>
    </row>
    <row r="5" spans="1:26" ht="16" x14ac:dyDescent="0.2">
      <c r="A5" s="1" t="s">
        <v>3</v>
      </c>
      <c r="B5" s="7" t="s">
        <v>18</v>
      </c>
      <c r="O5" s="4"/>
      <c r="P5" s="4"/>
      <c r="Q5" s="4"/>
      <c r="R5" s="4"/>
      <c r="S5" s="4"/>
      <c r="T5" s="5"/>
      <c r="U5" s="5"/>
      <c r="V5" s="6" t="s">
        <v>5</v>
      </c>
      <c r="W5" s="5"/>
      <c r="X5" s="5"/>
      <c r="Y5" s="4"/>
      <c r="Z5" s="4"/>
    </row>
    <row r="6" spans="1:26" ht="16" x14ac:dyDescent="0.2">
      <c r="A6" s="1" t="s">
        <v>6</v>
      </c>
      <c r="B6" s="8" t="str">
        <f>INDEX($V$4:$V$11,(MATCH(B5,$V$4:$V$11,0)-1))</f>
        <v>2024-25</v>
      </c>
      <c r="O6" s="4"/>
      <c r="P6" s="4"/>
      <c r="Q6" s="4"/>
      <c r="R6" s="4"/>
      <c r="S6" s="4"/>
      <c r="T6" s="5"/>
      <c r="U6" s="5"/>
      <c r="V6" s="6" t="s">
        <v>7</v>
      </c>
      <c r="W6" s="5"/>
      <c r="X6" s="5"/>
      <c r="Y6" s="4"/>
      <c r="Z6" s="4"/>
    </row>
    <row r="7" spans="1:26" ht="16" x14ac:dyDescent="0.2">
      <c r="O7" s="4"/>
      <c r="P7" s="4"/>
      <c r="Q7" s="4"/>
      <c r="R7" s="4"/>
      <c r="S7" s="4"/>
      <c r="T7" s="5"/>
      <c r="U7" s="5"/>
      <c r="V7" s="6" t="s">
        <v>4</v>
      </c>
      <c r="W7" s="5"/>
      <c r="X7" s="5"/>
      <c r="Y7" s="4"/>
      <c r="Z7" s="4"/>
    </row>
    <row r="8" spans="1:26" hidden="1" x14ac:dyDescent="0.2">
      <c r="B8" s="9"/>
      <c r="C8" s="9"/>
      <c r="D8" s="9"/>
      <c r="E8" s="119"/>
      <c r="F8" s="9"/>
      <c r="G8" s="119"/>
      <c r="H8" s="9"/>
      <c r="I8" s="9"/>
      <c r="J8" s="9"/>
      <c r="K8" s="9"/>
      <c r="L8" s="9"/>
      <c r="M8" s="9"/>
      <c r="T8" s="10"/>
      <c r="U8" s="10"/>
      <c r="V8" s="11" t="s">
        <v>8</v>
      </c>
      <c r="W8" s="10"/>
      <c r="X8" s="10"/>
    </row>
    <row r="9" spans="1:26" ht="26" x14ac:dyDescent="0.2">
      <c r="B9" s="9"/>
      <c r="C9" s="9"/>
      <c r="D9" s="9"/>
      <c r="E9" s="119"/>
      <c r="F9" s="9"/>
      <c r="G9" s="119"/>
      <c r="H9" s="188" t="s">
        <v>193</v>
      </c>
      <c r="I9" s="188"/>
      <c r="J9" s="188"/>
      <c r="K9" s="188"/>
      <c r="L9" s="188"/>
      <c r="M9" s="9"/>
      <c r="T9" s="10"/>
      <c r="U9" s="10"/>
      <c r="V9" s="11" t="s">
        <v>9</v>
      </c>
      <c r="W9" s="10"/>
      <c r="X9" s="10"/>
    </row>
    <row r="10" spans="1:26" ht="19" x14ac:dyDescent="0.2">
      <c r="B10" s="12" t="s">
        <v>10</v>
      </c>
      <c r="T10" s="10"/>
      <c r="U10" s="10"/>
      <c r="V10" s="11" t="s">
        <v>11</v>
      </c>
      <c r="W10" s="10"/>
      <c r="X10" s="10"/>
    </row>
    <row r="11" spans="1:26" x14ac:dyDescent="0.2">
      <c r="B11" s="13" t="s">
        <v>12</v>
      </c>
      <c r="C11" s="184" t="s">
        <v>13</v>
      </c>
      <c r="D11" s="189"/>
      <c r="E11" s="184" t="s">
        <v>14</v>
      </c>
      <c r="F11" s="189"/>
      <c r="G11" s="184" t="s">
        <v>15</v>
      </c>
      <c r="H11" s="189"/>
      <c r="I11" s="184" t="s">
        <v>16</v>
      </c>
      <c r="J11" s="189"/>
      <c r="K11" s="186" t="s">
        <v>17</v>
      </c>
      <c r="L11" s="187"/>
      <c r="T11" s="10"/>
      <c r="U11" s="10"/>
      <c r="V11" s="11" t="s">
        <v>18</v>
      </c>
      <c r="W11" s="10"/>
      <c r="X11" s="10"/>
    </row>
    <row r="12" spans="1:26" s="4" customFormat="1" ht="16" x14ac:dyDescent="0.2">
      <c r="B12" s="14"/>
      <c r="C12" s="15" t="str">
        <f>$B$5</f>
        <v>2025-26</v>
      </c>
      <c r="D12" s="15" t="str">
        <f>$B$6</f>
        <v>2024-25</v>
      </c>
      <c r="E12" s="15" t="str">
        <f t="shared" ref="E12" si="0">$B$5</f>
        <v>2025-26</v>
      </c>
      <c r="F12" s="15" t="str">
        <f t="shared" ref="F12" si="1">$B$6</f>
        <v>2024-25</v>
      </c>
      <c r="G12" s="120" t="str">
        <f t="shared" ref="G12" si="2">$B$5</f>
        <v>2025-26</v>
      </c>
      <c r="H12" s="15" t="str">
        <f t="shared" ref="H12" si="3">$B$6</f>
        <v>2024-25</v>
      </c>
      <c r="I12" s="15" t="str">
        <f t="shared" ref="I12" si="4">$B$5</f>
        <v>2025-26</v>
      </c>
      <c r="J12" s="15" t="str">
        <f t="shared" ref="J12" si="5">$B$6</f>
        <v>2024-25</v>
      </c>
      <c r="K12" s="15" t="str">
        <f t="shared" ref="K12" si="6">$B$5</f>
        <v>2025-26</v>
      </c>
      <c r="L12" s="15" t="str">
        <f t="shared" ref="L12" si="7">$B$6</f>
        <v>2024-25</v>
      </c>
      <c r="T12" s="5"/>
      <c r="U12" s="5"/>
      <c r="V12" s="5"/>
      <c r="W12" s="5"/>
      <c r="X12" s="5"/>
    </row>
    <row r="13" spans="1:26" ht="15" customHeight="1" x14ac:dyDescent="0.2">
      <c r="B13" s="16" t="s">
        <v>19</v>
      </c>
      <c r="C13" s="79">
        <f>+C14+C15+C16+C17+C18+C19</f>
        <v>55159.695458800008</v>
      </c>
      <c r="D13" s="79">
        <f t="shared" ref="D13:L13" si="8">+D14+D15+D16+D17+D18+D19</f>
        <v>44404.24811</v>
      </c>
      <c r="E13" s="79">
        <f t="shared" si="8"/>
        <v>49715.89</v>
      </c>
      <c r="F13" s="79">
        <f t="shared" si="8"/>
        <v>50690.939999999995</v>
      </c>
      <c r="G13" s="79">
        <f t="shared" si="8"/>
        <v>37832.990000000005</v>
      </c>
      <c r="H13" s="79">
        <f t="shared" si="8"/>
        <v>34935.636006000001</v>
      </c>
      <c r="I13" s="17">
        <f t="shared" si="8"/>
        <v>0</v>
      </c>
      <c r="J13" s="79">
        <f t="shared" si="8"/>
        <v>34213.8210989</v>
      </c>
      <c r="K13" s="17">
        <f t="shared" si="8"/>
        <v>142708.57545879998</v>
      </c>
      <c r="L13" s="17">
        <f t="shared" si="8"/>
        <v>164244.6452149</v>
      </c>
      <c r="M13" s="18"/>
      <c r="N13" s="100"/>
      <c r="T13" s="10"/>
      <c r="U13" s="10"/>
      <c r="V13" s="10"/>
      <c r="W13" s="10"/>
      <c r="X13" s="10"/>
    </row>
    <row r="14" spans="1:26" ht="15" customHeight="1" x14ac:dyDescent="0.2">
      <c r="B14" s="19" t="s">
        <v>20</v>
      </c>
      <c r="C14" s="87">
        <f>55159.7-23863.01</f>
        <v>31296.69</v>
      </c>
      <c r="D14" s="87">
        <v>25385.01</v>
      </c>
      <c r="E14" s="80">
        <f>48156.06-E16-E17</f>
        <v>29297.639999999996</v>
      </c>
      <c r="F14" s="80">
        <v>27414.1</v>
      </c>
      <c r="G14" s="121">
        <f>36177.83-G16-G17</f>
        <v>28743.799638600001</v>
      </c>
      <c r="H14" s="121">
        <f>34935.64-12342.49</f>
        <v>22593.15</v>
      </c>
      <c r="I14" s="20"/>
      <c r="J14" s="20">
        <v>25011.96</v>
      </c>
      <c r="K14" s="17">
        <f>C14+E14+G14+I14</f>
        <v>89338.129638599989</v>
      </c>
      <c r="L14" s="17">
        <f>D14+F14+H14+J14</f>
        <v>100404.22</v>
      </c>
      <c r="M14" s="21"/>
      <c r="N14" s="100"/>
      <c r="T14" s="10"/>
      <c r="U14" s="10"/>
      <c r="V14" s="10"/>
      <c r="W14" s="10"/>
      <c r="X14" s="10"/>
    </row>
    <row r="15" spans="1:26" ht="15" customHeight="1" x14ac:dyDescent="0.2">
      <c r="B15" s="19" t="s">
        <v>21</v>
      </c>
      <c r="C15" s="87"/>
      <c r="D15" s="87"/>
      <c r="E15" s="80"/>
      <c r="F15" s="80"/>
      <c r="G15" s="121"/>
      <c r="H15" s="121"/>
      <c r="I15" s="20"/>
      <c r="J15" s="20"/>
      <c r="K15" s="17">
        <f t="shared" ref="K15:L19" si="9">C15+E15+G15+I15</f>
        <v>0</v>
      </c>
      <c r="L15" s="17">
        <f t="shared" si="9"/>
        <v>0</v>
      </c>
      <c r="M15" s="21"/>
      <c r="N15" s="100"/>
      <c r="T15" s="10"/>
      <c r="U15" s="10"/>
      <c r="V15" s="10"/>
      <c r="W15" s="10"/>
      <c r="X15" s="10"/>
    </row>
    <row r="16" spans="1:26" ht="15" customHeight="1" x14ac:dyDescent="0.2">
      <c r="B16" s="19" t="s">
        <v>22</v>
      </c>
      <c r="C16" s="87">
        <v>1026.2213687999999</v>
      </c>
      <c r="D16" s="87">
        <v>1033.42</v>
      </c>
      <c r="E16" s="80">
        <v>1700.93</v>
      </c>
      <c r="F16" s="80">
        <v>814.17</v>
      </c>
      <c r="G16" s="122">
        <v>225.12002140000001</v>
      </c>
      <c r="H16" s="122">
        <v>1427.2660060000001</v>
      </c>
      <c r="I16" s="87"/>
      <c r="J16" s="87">
        <v>1430.2258979999999</v>
      </c>
      <c r="K16" s="17">
        <f t="shared" si="9"/>
        <v>2952.2713902</v>
      </c>
      <c r="L16" s="17">
        <f t="shared" si="9"/>
        <v>4705.0819039999997</v>
      </c>
      <c r="M16" s="21"/>
      <c r="N16" s="100"/>
      <c r="T16" s="10"/>
      <c r="U16" s="10"/>
      <c r="V16" s="10"/>
      <c r="W16" s="10"/>
      <c r="X16" s="10"/>
    </row>
    <row r="17" spans="2:14" ht="15" customHeight="1" x14ac:dyDescent="0.2">
      <c r="B17" s="19" t="s">
        <v>23</v>
      </c>
      <c r="C17" s="87">
        <v>20856.484090000002</v>
      </c>
      <c r="D17" s="87">
        <v>16619.65811</v>
      </c>
      <c r="E17" s="80">
        <v>17157.490000000002</v>
      </c>
      <c r="F17" s="80">
        <v>21077.279999999999</v>
      </c>
      <c r="G17" s="122">
        <v>7208.9103400000004</v>
      </c>
      <c r="H17" s="122">
        <v>9873.14</v>
      </c>
      <c r="I17" s="87"/>
      <c r="J17" s="87">
        <v>5603.8052009000003</v>
      </c>
      <c r="K17" s="17">
        <f t="shared" si="9"/>
        <v>45222.884430000006</v>
      </c>
      <c r="L17" s="17">
        <f t="shared" si="9"/>
        <v>53173.883310900004</v>
      </c>
      <c r="M17" s="21"/>
      <c r="N17" s="100"/>
    </row>
    <row r="18" spans="2:14" ht="15" customHeight="1" x14ac:dyDescent="0.2">
      <c r="B18" s="19" t="s">
        <v>24</v>
      </c>
      <c r="C18" s="87"/>
      <c r="D18" s="87"/>
      <c r="E18" s="80"/>
      <c r="F18" s="80"/>
      <c r="G18" s="121"/>
      <c r="H18" s="121"/>
      <c r="I18" s="87"/>
      <c r="J18" s="87"/>
      <c r="K18" s="17">
        <f t="shared" si="9"/>
        <v>0</v>
      </c>
      <c r="L18" s="17">
        <f t="shared" si="9"/>
        <v>0</v>
      </c>
      <c r="M18" s="21"/>
      <c r="N18" s="100"/>
    </row>
    <row r="19" spans="2:14" ht="15" customHeight="1" x14ac:dyDescent="0.2">
      <c r="B19" s="19" t="s">
        <v>25</v>
      </c>
      <c r="C19" s="87">
        <v>1980.3</v>
      </c>
      <c r="D19" s="87">
        <v>1366.16</v>
      </c>
      <c r="E19" s="80">
        <v>1559.83</v>
      </c>
      <c r="F19" s="80">
        <v>1385.39</v>
      </c>
      <c r="G19" s="121">
        <v>1655.16</v>
      </c>
      <c r="H19" s="121">
        <v>1042.08</v>
      </c>
      <c r="I19" s="87"/>
      <c r="J19" s="87">
        <v>2167.83</v>
      </c>
      <c r="K19" s="17">
        <f t="shared" si="9"/>
        <v>5195.29</v>
      </c>
      <c r="L19" s="17">
        <f t="shared" si="9"/>
        <v>5961.46</v>
      </c>
      <c r="M19" s="21"/>
      <c r="N19" s="100"/>
    </row>
    <row r="20" spans="2:14" ht="15" customHeight="1" x14ac:dyDescent="0.2">
      <c r="B20" s="22" t="s">
        <v>26</v>
      </c>
      <c r="C20" s="17">
        <f t="shared" ref="C20:L20" si="10">+C21+C22+C23</f>
        <v>10000</v>
      </c>
      <c r="D20" s="79">
        <f t="shared" si="10"/>
        <v>24000</v>
      </c>
      <c r="E20" s="79">
        <f t="shared" si="10"/>
        <v>0</v>
      </c>
      <c r="F20" s="79">
        <f t="shared" si="10"/>
        <v>13500</v>
      </c>
      <c r="G20" s="79">
        <f t="shared" si="10"/>
        <v>10000</v>
      </c>
      <c r="H20" s="79">
        <f t="shared" si="10"/>
        <v>9300</v>
      </c>
      <c r="I20" s="17">
        <f t="shared" si="10"/>
        <v>0</v>
      </c>
      <c r="J20" s="17">
        <f t="shared" si="10"/>
        <v>0</v>
      </c>
      <c r="K20" s="17">
        <f t="shared" si="10"/>
        <v>20000</v>
      </c>
      <c r="L20" s="17">
        <f t="shared" si="10"/>
        <v>46800</v>
      </c>
      <c r="M20" s="23"/>
      <c r="N20" s="100"/>
    </row>
    <row r="21" spans="2:14" ht="15" customHeight="1" x14ac:dyDescent="0.2">
      <c r="B21" s="24" t="s">
        <v>27</v>
      </c>
      <c r="C21" s="25"/>
      <c r="D21" s="80"/>
      <c r="E21" s="80"/>
      <c r="F21" s="80"/>
      <c r="G21" s="123"/>
      <c r="H21" s="80"/>
      <c r="I21" s="25"/>
      <c r="J21" s="25"/>
      <c r="K21" s="17">
        <f>C21+E21+G21+I21</f>
        <v>0</v>
      </c>
      <c r="L21" s="17">
        <f>D21+F21+H21+J21</f>
        <v>0</v>
      </c>
      <c r="M21" s="26"/>
      <c r="N21" s="100"/>
    </row>
    <row r="22" spans="2:14" ht="15" customHeight="1" x14ac:dyDescent="0.2">
      <c r="B22" s="24" t="s">
        <v>28</v>
      </c>
      <c r="C22" s="25">
        <v>10000</v>
      </c>
      <c r="D22" s="25">
        <v>24000</v>
      </c>
      <c r="E22" s="80">
        <v>0</v>
      </c>
      <c r="F22" s="80">
        <v>13500</v>
      </c>
      <c r="G22" s="123">
        <v>10000</v>
      </c>
      <c r="H22" s="80">
        <v>9300</v>
      </c>
      <c r="I22" s="25">
        <v>0</v>
      </c>
      <c r="J22" s="158">
        <v>0</v>
      </c>
      <c r="K22" s="17">
        <f t="shared" ref="K22:L23" si="11">C22+E22+G22+I22</f>
        <v>20000</v>
      </c>
      <c r="L22" s="17">
        <f t="shared" si="11"/>
        <v>46800</v>
      </c>
      <c r="M22" s="26"/>
      <c r="N22" s="100"/>
    </row>
    <row r="23" spans="2:14" ht="15" customHeight="1" x14ac:dyDescent="0.2">
      <c r="B23" s="19" t="s">
        <v>29</v>
      </c>
      <c r="C23" s="25"/>
      <c r="D23" s="80"/>
      <c r="E23" s="80"/>
      <c r="F23" s="80"/>
      <c r="G23" s="123"/>
      <c r="H23" s="80"/>
      <c r="I23" s="25"/>
      <c r="J23" s="20"/>
      <c r="K23" s="17">
        <f t="shared" si="11"/>
        <v>0</v>
      </c>
      <c r="L23" s="17">
        <f t="shared" si="11"/>
        <v>0</v>
      </c>
      <c r="M23" s="21"/>
      <c r="N23" s="100"/>
    </row>
    <row r="24" spans="2:14" ht="15" customHeight="1" x14ac:dyDescent="0.2">
      <c r="B24" s="22" t="s">
        <v>30</v>
      </c>
      <c r="C24" s="79">
        <f>+C25+C26+C27</f>
        <v>2777.28</v>
      </c>
      <c r="D24" s="79">
        <f t="shared" ref="D24:L24" si="12">+D25+D26+D27</f>
        <v>1884.43</v>
      </c>
      <c r="E24" s="79">
        <f t="shared" si="12"/>
        <v>2731.71</v>
      </c>
      <c r="F24" s="79">
        <f t="shared" si="12"/>
        <v>5257.26</v>
      </c>
      <c r="G24" s="79">
        <f t="shared" si="12"/>
        <v>2443.66</v>
      </c>
      <c r="H24" s="79">
        <f t="shared" si="12"/>
        <v>2710.43</v>
      </c>
      <c r="I24" s="17">
        <f>+I25+I26+I27</f>
        <v>0</v>
      </c>
      <c r="J24" s="17">
        <f>+J25+J26+J27</f>
        <v>4901.7</v>
      </c>
      <c r="K24" s="27">
        <f t="shared" si="12"/>
        <v>7952.65</v>
      </c>
      <c r="L24" s="27">
        <f t="shared" si="12"/>
        <v>14753.82</v>
      </c>
      <c r="M24" s="23"/>
    </row>
    <row r="25" spans="2:14" ht="15" customHeight="1" x14ac:dyDescent="0.2">
      <c r="B25" s="24" t="s">
        <v>31</v>
      </c>
      <c r="C25" s="25"/>
      <c r="D25" s="25"/>
      <c r="E25" s="80"/>
      <c r="F25" s="80"/>
      <c r="G25" s="123"/>
      <c r="H25" s="80"/>
      <c r="I25" s="25"/>
      <c r="J25" s="25"/>
      <c r="K25" s="17">
        <f t="shared" ref="K25:L26" si="13">C25+E25+G25+I25</f>
        <v>0</v>
      </c>
      <c r="L25" s="17">
        <f t="shared" si="13"/>
        <v>0</v>
      </c>
      <c r="M25" s="26"/>
    </row>
    <row r="26" spans="2:14" ht="15" customHeight="1" x14ac:dyDescent="0.2">
      <c r="B26" s="19" t="s">
        <v>32</v>
      </c>
      <c r="C26" s="20"/>
      <c r="D26" s="20"/>
      <c r="E26" s="80"/>
      <c r="F26" s="80"/>
      <c r="G26" s="121"/>
      <c r="H26" s="80"/>
      <c r="I26" s="20"/>
      <c r="J26" s="20"/>
      <c r="K26" s="17">
        <f t="shared" si="13"/>
        <v>0</v>
      </c>
      <c r="L26" s="17">
        <f t="shared" si="13"/>
        <v>0</v>
      </c>
      <c r="M26" s="21"/>
    </row>
    <row r="27" spans="2:14" ht="15" customHeight="1" x14ac:dyDescent="0.2">
      <c r="B27" s="19" t="s">
        <v>33</v>
      </c>
      <c r="C27" s="87">
        <v>2777.28</v>
      </c>
      <c r="D27" s="87">
        <v>1884.43</v>
      </c>
      <c r="E27" s="80">
        <v>2731.71</v>
      </c>
      <c r="F27" s="80">
        <v>5257.26</v>
      </c>
      <c r="G27" s="121">
        <v>2443.66</v>
      </c>
      <c r="H27" s="121">
        <v>2710.43</v>
      </c>
      <c r="I27" s="20"/>
      <c r="J27" s="20">
        <v>4901.7</v>
      </c>
      <c r="K27" s="17">
        <f>C27+E27+G27+I27</f>
        <v>7952.65</v>
      </c>
      <c r="L27" s="17">
        <f>D27+F27+H27+J27</f>
        <v>14753.82</v>
      </c>
      <c r="M27" s="21"/>
    </row>
    <row r="28" spans="2:14" ht="15" customHeight="1" x14ac:dyDescent="0.2">
      <c r="B28" s="28" t="s">
        <v>34</v>
      </c>
      <c r="C28" s="81">
        <f>+C13+C20+C24</f>
        <v>67936.975458800007</v>
      </c>
      <c r="D28" s="81">
        <f>+D13+D20+D24</f>
        <v>70288.678109999993</v>
      </c>
      <c r="E28" s="81">
        <f t="shared" ref="E28:L28" si="14">+E13+E20+E24</f>
        <v>52447.6</v>
      </c>
      <c r="F28" s="81">
        <f t="shared" si="14"/>
        <v>69448.2</v>
      </c>
      <c r="G28" s="81">
        <f t="shared" si="14"/>
        <v>50276.650000000009</v>
      </c>
      <c r="H28" s="81">
        <f t="shared" si="14"/>
        <v>46946.066006000001</v>
      </c>
      <c r="I28" s="29">
        <f t="shared" si="14"/>
        <v>0</v>
      </c>
      <c r="J28" s="29">
        <f t="shared" si="14"/>
        <v>39115.521098899997</v>
      </c>
      <c r="K28" s="29">
        <f t="shared" si="14"/>
        <v>170661.22545879998</v>
      </c>
      <c r="L28" s="29">
        <f t="shared" si="14"/>
        <v>225798.4652149</v>
      </c>
      <c r="M28" s="30"/>
    </row>
    <row r="29" spans="2:14" ht="15" customHeight="1" x14ac:dyDescent="0.2">
      <c r="B29" s="31" t="s">
        <v>35</v>
      </c>
      <c r="C29" s="32"/>
      <c r="D29" s="32"/>
      <c r="E29" s="90"/>
      <c r="F29" s="90"/>
      <c r="G29" s="124"/>
      <c r="H29" s="90"/>
      <c r="I29" s="32"/>
      <c r="J29" s="32"/>
      <c r="K29" s="17">
        <f t="shared" ref="K29:L29" si="15">C29+E29+G29+I29</f>
        <v>0</v>
      </c>
      <c r="L29" s="17">
        <f t="shared" si="15"/>
        <v>0</v>
      </c>
      <c r="M29" s="33"/>
    </row>
    <row r="30" spans="2:14" ht="15" customHeight="1" x14ac:dyDescent="0.2">
      <c r="B30" s="28" t="s">
        <v>36</v>
      </c>
      <c r="C30" s="29">
        <f t="shared" ref="C30:L30" si="16">+C28-C21+C29</f>
        <v>67936.975458800007</v>
      </c>
      <c r="D30" s="81">
        <f t="shared" si="16"/>
        <v>70288.678109999993</v>
      </c>
      <c r="E30" s="81">
        <f t="shared" si="16"/>
        <v>52447.6</v>
      </c>
      <c r="F30" s="81">
        <f t="shared" si="16"/>
        <v>69448.2</v>
      </c>
      <c r="G30" s="81">
        <f t="shared" si="16"/>
        <v>50276.650000000009</v>
      </c>
      <c r="H30" s="81">
        <f t="shared" si="16"/>
        <v>46946.066006000001</v>
      </c>
      <c r="I30" s="29">
        <f t="shared" si="16"/>
        <v>0</v>
      </c>
      <c r="J30" s="29">
        <f t="shared" si="16"/>
        <v>39115.521098899997</v>
      </c>
      <c r="K30" s="29">
        <f t="shared" si="16"/>
        <v>170661.22545879998</v>
      </c>
      <c r="L30" s="29">
        <f t="shared" si="16"/>
        <v>225798.4652149</v>
      </c>
      <c r="M30" s="34"/>
    </row>
    <row r="31" spans="2:14" ht="16" x14ac:dyDescent="0.2">
      <c r="B31" s="35" t="s">
        <v>37</v>
      </c>
      <c r="C31" s="36"/>
      <c r="D31" s="36" t="s">
        <v>38</v>
      </c>
      <c r="E31" s="91"/>
      <c r="F31" s="91"/>
      <c r="G31" s="125"/>
      <c r="H31" s="91"/>
      <c r="I31" s="36"/>
      <c r="J31" s="36"/>
      <c r="K31" s="36"/>
      <c r="L31" s="36"/>
      <c r="M31" s="34"/>
    </row>
    <row r="32" spans="2:14" ht="15" customHeight="1" x14ac:dyDescent="0.2">
      <c r="B32" t="s">
        <v>39</v>
      </c>
      <c r="C32"/>
      <c r="D32"/>
      <c r="E32" s="126"/>
      <c r="F32"/>
      <c r="G32" s="126"/>
      <c r="H32"/>
      <c r="I32"/>
      <c r="J32"/>
      <c r="K32"/>
      <c r="L32"/>
      <c r="M32" s="34"/>
    </row>
    <row r="33" spans="2:13" ht="15" customHeight="1" x14ac:dyDescent="0.2">
      <c r="B33"/>
      <c r="C33"/>
      <c r="D33"/>
      <c r="E33" s="126"/>
      <c r="F33"/>
      <c r="G33" s="126"/>
      <c r="H33"/>
      <c r="I33"/>
      <c r="J33"/>
      <c r="K33"/>
      <c r="L33"/>
      <c r="M33" s="34"/>
    </row>
    <row r="34" spans="2:13" ht="15" customHeight="1" x14ac:dyDescent="0.2">
      <c r="B34" s="13" t="s">
        <v>40</v>
      </c>
      <c r="C34" s="184" t="s">
        <v>13</v>
      </c>
      <c r="D34" s="189"/>
      <c r="E34" s="184" t="s">
        <v>14</v>
      </c>
      <c r="F34" s="189"/>
      <c r="G34" s="184" t="s">
        <v>15</v>
      </c>
      <c r="H34" s="189"/>
      <c r="I34" s="184" t="s">
        <v>16</v>
      </c>
      <c r="J34" s="189"/>
      <c r="K34" s="186" t="s">
        <v>17</v>
      </c>
      <c r="L34" s="187"/>
      <c r="M34" s="34"/>
    </row>
    <row r="35" spans="2:13" ht="16" x14ac:dyDescent="0.2">
      <c r="B35" s="13"/>
      <c r="C35" s="15" t="str">
        <f>$B$5</f>
        <v>2025-26</v>
      </c>
      <c r="D35" s="15" t="str">
        <f>$B$6</f>
        <v>2024-25</v>
      </c>
      <c r="E35" s="15" t="str">
        <f t="shared" ref="E35" si="17">$B$5</f>
        <v>2025-26</v>
      </c>
      <c r="F35" s="15" t="str">
        <f t="shared" ref="F35" si="18">$B$6</f>
        <v>2024-25</v>
      </c>
      <c r="G35" s="15" t="str">
        <f t="shared" ref="G35" si="19">$B$5</f>
        <v>2025-26</v>
      </c>
      <c r="H35" s="15" t="str">
        <f t="shared" ref="H35" si="20">$B$6</f>
        <v>2024-25</v>
      </c>
      <c r="I35" s="15" t="str">
        <f t="shared" ref="I35" si="21">$B$5</f>
        <v>2025-26</v>
      </c>
      <c r="J35" s="15" t="str">
        <f t="shared" ref="J35" si="22">$B$6</f>
        <v>2024-25</v>
      </c>
      <c r="K35" s="15" t="str">
        <f t="shared" ref="K35" si="23">$B$5</f>
        <v>2025-26</v>
      </c>
      <c r="L35" s="15" t="str">
        <f t="shared" ref="L35" si="24">$B$6</f>
        <v>2024-25</v>
      </c>
    </row>
    <row r="36" spans="2:13" x14ac:dyDescent="0.2">
      <c r="B36" s="22" t="s">
        <v>41</v>
      </c>
      <c r="C36" s="79">
        <f>+C37+C38+C39</f>
        <v>36649.599999999999</v>
      </c>
      <c r="D36" s="79">
        <f t="shared" ref="D36:L36" si="25">+D37+D38+D39</f>
        <v>41240.648575899992</v>
      </c>
      <c r="E36" s="79">
        <f t="shared" si="25"/>
        <v>36725.949999999997</v>
      </c>
      <c r="F36" s="79">
        <f t="shared" si="25"/>
        <v>44352.639999999999</v>
      </c>
      <c r="G36" s="79">
        <f t="shared" si="25"/>
        <v>33862.19195</v>
      </c>
      <c r="H36" s="79">
        <f t="shared" si="25"/>
        <v>35884.03</v>
      </c>
      <c r="I36" s="17">
        <f t="shared" si="25"/>
        <v>0</v>
      </c>
      <c r="J36" s="17">
        <f t="shared" si="25"/>
        <v>38938.300000000003</v>
      </c>
      <c r="K36" s="17">
        <f t="shared" si="25"/>
        <v>107237.74195</v>
      </c>
      <c r="L36" s="17">
        <f t="shared" si="25"/>
        <v>160415.61857589998</v>
      </c>
    </row>
    <row r="37" spans="2:13" x14ac:dyDescent="0.2">
      <c r="B37" s="19" t="s">
        <v>42</v>
      </c>
      <c r="C37" s="80"/>
      <c r="D37" s="80"/>
      <c r="E37" s="80"/>
      <c r="F37" s="80"/>
      <c r="G37" s="80"/>
      <c r="H37" s="80"/>
      <c r="I37" s="20"/>
      <c r="J37" s="20"/>
      <c r="K37" s="17">
        <f t="shared" ref="K37:L39" si="26">C37+E37+G37+I37</f>
        <v>0</v>
      </c>
      <c r="L37" s="17">
        <f t="shared" si="26"/>
        <v>0</v>
      </c>
    </row>
    <row r="38" spans="2:13" x14ac:dyDescent="0.2">
      <c r="B38" s="19" t="s">
        <v>43</v>
      </c>
      <c r="C38" s="80">
        <v>30028.07</v>
      </c>
      <c r="D38" s="80">
        <v>36203.648575899992</v>
      </c>
      <c r="E38" s="80">
        <v>30157.01</v>
      </c>
      <c r="F38" s="80">
        <v>39771.599999999999</v>
      </c>
      <c r="G38" s="80">
        <v>27532.531950000001</v>
      </c>
      <c r="H38" s="80">
        <v>30357.43</v>
      </c>
      <c r="I38" s="20"/>
      <c r="J38" s="20">
        <v>32413.08</v>
      </c>
      <c r="K38" s="17">
        <f t="shared" si="26"/>
        <v>87717.611950000006</v>
      </c>
      <c r="L38" s="17">
        <f t="shared" si="26"/>
        <v>138745.75857589999</v>
      </c>
    </row>
    <row r="39" spans="2:13" x14ac:dyDescent="0.2">
      <c r="B39" s="19" t="s">
        <v>44</v>
      </c>
      <c r="C39" s="80">
        <v>6621.53</v>
      </c>
      <c r="D39" s="80">
        <v>5037</v>
      </c>
      <c r="E39" s="80">
        <v>6568.94</v>
      </c>
      <c r="F39" s="80">
        <v>4581.04</v>
      </c>
      <c r="G39" s="80">
        <v>6329.66</v>
      </c>
      <c r="H39" s="80">
        <v>5526.6</v>
      </c>
      <c r="I39" s="20"/>
      <c r="J39" s="20">
        <v>6525.22</v>
      </c>
      <c r="K39" s="17">
        <f t="shared" si="26"/>
        <v>19520.129999999997</v>
      </c>
      <c r="L39" s="17">
        <f t="shared" si="26"/>
        <v>21669.86</v>
      </c>
    </row>
    <row r="40" spans="2:13" x14ac:dyDescent="0.2">
      <c r="B40" s="37" t="s">
        <v>45</v>
      </c>
      <c r="C40" s="79">
        <f>+C41+C42+C43+C44+C45+C46+C47</f>
        <v>11377.459187600001</v>
      </c>
      <c r="D40" s="79">
        <f>+D41+D42+D43+D44+D45+D46+D47</f>
        <v>10234.907538000001</v>
      </c>
      <c r="E40" s="79">
        <f>+E41+E42+E43+E44+E45+E46+E47</f>
        <v>12120.75</v>
      </c>
      <c r="F40" s="79">
        <f t="shared" ref="F40:L40" si="27">+F41+F42+F43+F44+F45+F46+F47</f>
        <v>10297.4928378</v>
      </c>
      <c r="G40" s="79">
        <f t="shared" si="27"/>
        <v>14455.072191999998</v>
      </c>
      <c r="H40" s="79">
        <f t="shared" si="27"/>
        <v>10856.513036499999</v>
      </c>
      <c r="I40" s="17">
        <f t="shared" si="27"/>
        <v>0</v>
      </c>
      <c r="J40" s="17">
        <f t="shared" si="27"/>
        <v>24807.424467000001</v>
      </c>
      <c r="K40" s="17">
        <f t="shared" si="27"/>
        <v>37953.281379599997</v>
      </c>
      <c r="L40" s="17">
        <f t="shared" si="27"/>
        <v>56196.337879300001</v>
      </c>
    </row>
    <row r="41" spans="2:13" x14ac:dyDescent="0.2">
      <c r="B41" s="19" t="s">
        <v>46</v>
      </c>
      <c r="C41" s="80">
        <v>326.08</v>
      </c>
      <c r="D41" s="80">
        <v>149.46</v>
      </c>
      <c r="E41" s="80">
        <v>628.37</v>
      </c>
      <c r="F41" s="80">
        <v>246.6</v>
      </c>
      <c r="G41" s="80">
        <v>593.95000000000005</v>
      </c>
      <c r="H41" s="80">
        <v>938.24</v>
      </c>
      <c r="I41" s="20"/>
      <c r="J41" s="20">
        <v>1422.17</v>
      </c>
      <c r="K41" s="17">
        <f>C41+E41+G41+I41</f>
        <v>1548.4</v>
      </c>
      <c r="L41" s="17">
        <f t="shared" ref="K41:L45" si="28">D41+F41+H41+J41</f>
        <v>2756.4700000000003</v>
      </c>
    </row>
    <row r="42" spans="2:13" x14ac:dyDescent="0.2">
      <c r="B42" s="19" t="s">
        <v>47</v>
      </c>
      <c r="C42" s="80">
        <v>4538.6400000000003</v>
      </c>
      <c r="D42" s="80">
        <v>4417.0227800000011</v>
      </c>
      <c r="E42" s="80">
        <v>4618.1899999999996</v>
      </c>
      <c r="F42" s="80">
        <v>4364.0200000000004</v>
      </c>
      <c r="G42" s="80">
        <v>6434.796801999998</v>
      </c>
      <c r="H42" s="80">
        <v>4349.8885809999992</v>
      </c>
      <c r="I42" s="20"/>
      <c r="J42" s="20">
        <v>14284.282001000001</v>
      </c>
      <c r="K42" s="17">
        <f t="shared" si="28"/>
        <v>15591.626801999999</v>
      </c>
      <c r="L42" s="17">
        <f t="shared" si="28"/>
        <v>27415.213362000002</v>
      </c>
    </row>
    <row r="43" spans="2:13" x14ac:dyDescent="0.2">
      <c r="B43" s="19" t="s">
        <v>48</v>
      </c>
      <c r="C43" s="80"/>
      <c r="D43" s="80">
        <v>529.24</v>
      </c>
      <c r="E43" s="80">
        <v>1124.46</v>
      </c>
      <c r="F43" s="80">
        <f>583.48+0.01</f>
        <v>583.49</v>
      </c>
      <c r="G43" s="80">
        <v>1763.25</v>
      </c>
      <c r="H43" s="80">
        <v>489.94</v>
      </c>
      <c r="I43" s="20"/>
      <c r="J43" s="20">
        <v>670.34</v>
      </c>
      <c r="K43" s="17">
        <f>C43+E43+G43+I43</f>
        <v>2887.71</v>
      </c>
      <c r="L43" s="17">
        <f t="shared" si="28"/>
        <v>2273.0100000000002</v>
      </c>
    </row>
    <row r="44" spans="2:13" x14ac:dyDescent="0.2">
      <c r="B44" s="19" t="s">
        <v>49</v>
      </c>
      <c r="C44" s="80">
        <v>3060.0595076</v>
      </c>
      <c r="D44" s="80">
        <v>1778.8351579999999</v>
      </c>
      <c r="E44" s="80">
        <v>2837.14</v>
      </c>
      <c r="F44" s="80">
        <v>1781.9612178000002</v>
      </c>
      <c r="G44" s="80">
        <v>2905.0164416000007</v>
      </c>
      <c r="H44" s="80">
        <v>1775.9121035000003</v>
      </c>
      <c r="I44" s="20"/>
      <c r="J44" s="20">
        <v>5074.2906660000008</v>
      </c>
      <c r="K44" s="17">
        <f t="shared" si="28"/>
        <v>8802.215949200001</v>
      </c>
      <c r="L44" s="17">
        <f t="shared" si="28"/>
        <v>10410.9991453</v>
      </c>
    </row>
    <row r="45" spans="2:13" x14ac:dyDescent="0.2">
      <c r="B45" s="19" t="s">
        <v>50</v>
      </c>
      <c r="C45" s="80">
        <v>3006.7396800000006</v>
      </c>
      <c r="D45" s="80">
        <v>3360.3496</v>
      </c>
      <c r="E45" s="80">
        <v>2912.59</v>
      </c>
      <c r="F45" s="80">
        <v>3321.4216200000001</v>
      </c>
      <c r="G45" s="80">
        <v>2758.0589483999997</v>
      </c>
      <c r="H45" s="80">
        <v>3302.5323520000002</v>
      </c>
      <c r="I45" s="20"/>
      <c r="J45" s="20">
        <v>3356.3417999999997</v>
      </c>
      <c r="K45" s="17">
        <f t="shared" si="28"/>
        <v>8677.3886284</v>
      </c>
      <c r="L45" s="17">
        <f t="shared" si="28"/>
        <v>13340.645372000001</v>
      </c>
    </row>
    <row r="46" spans="2:13" x14ac:dyDescent="0.2">
      <c r="B46" s="19" t="s">
        <v>51</v>
      </c>
      <c r="C46" s="80">
        <v>445.94</v>
      </c>
      <c r="D46" s="80"/>
      <c r="E46" s="80"/>
      <c r="F46" s="80"/>
      <c r="G46" s="80"/>
      <c r="H46" s="80"/>
      <c r="I46" s="20"/>
      <c r="J46" s="87"/>
      <c r="K46" s="17">
        <f>C46+E46+G46+I46</f>
        <v>445.94</v>
      </c>
      <c r="L46" s="17">
        <f>D46+F46+H46+J46</f>
        <v>0</v>
      </c>
    </row>
    <row r="47" spans="2:13" x14ac:dyDescent="0.2">
      <c r="B47" s="19" t="s">
        <v>52</v>
      </c>
      <c r="C47" s="80"/>
      <c r="D47" s="80"/>
      <c r="E47" s="80"/>
      <c r="F47" s="80">
        <v>0</v>
      </c>
      <c r="G47" s="80"/>
      <c r="H47" s="80"/>
      <c r="I47" s="20"/>
      <c r="J47" s="87"/>
      <c r="K47" s="17">
        <f>C47+E47+G47+I47</f>
        <v>0</v>
      </c>
      <c r="L47" s="17">
        <f>D47+F47+H47+J47</f>
        <v>0</v>
      </c>
    </row>
    <row r="48" spans="2:13" x14ac:dyDescent="0.2">
      <c r="B48" s="38" t="s">
        <v>53</v>
      </c>
      <c r="C48" s="81">
        <f>+C36+C40</f>
        <v>48027.059187599996</v>
      </c>
      <c r="D48" s="81">
        <f t="shared" ref="D48:L48" si="29">+D36+D40</f>
        <v>51475.556113899991</v>
      </c>
      <c r="E48" s="81">
        <f t="shared" si="29"/>
        <v>48846.7</v>
      </c>
      <c r="F48" s="81">
        <f t="shared" si="29"/>
        <v>54650.132837800003</v>
      </c>
      <c r="G48" s="81">
        <f t="shared" si="29"/>
        <v>48317.264142</v>
      </c>
      <c r="H48" s="81">
        <f t="shared" si="29"/>
        <v>46740.543036499999</v>
      </c>
      <c r="I48" s="29">
        <f t="shared" si="29"/>
        <v>0</v>
      </c>
      <c r="J48" s="29">
        <f t="shared" si="29"/>
        <v>63745.724467000007</v>
      </c>
      <c r="K48" s="29">
        <f t="shared" si="29"/>
        <v>145191.02332959999</v>
      </c>
      <c r="L48" s="29">
        <f t="shared" si="29"/>
        <v>216611.95645519998</v>
      </c>
    </row>
    <row r="49" spans="2:12" x14ac:dyDescent="0.2">
      <c r="B49" s="39" t="s">
        <v>54</v>
      </c>
      <c r="C49" s="82"/>
      <c r="D49" s="82"/>
      <c r="E49" s="82"/>
      <c r="F49" s="82"/>
      <c r="G49" s="82"/>
      <c r="H49" s="82"/>
      <c r="I49" s="39"/>
      <c r="J49" s="39"/>
      <c r="K49" s="40"/>
      <c r="L49" s="40"/>
    </row>
    <row r="50" spans="2:12" x14ac:dyDescent="0.2">
      <c r="B50" s="38" t="s">
        <v>55</v>
      </c>
      <c r="C50" s="81">
        <f>C28-C48</f>
        <v>19909.916271200011</v>
      </c>
      <c r="D50" s="81">
        <f t="shared" ref="D50:L50" si="30">D28-D48</f>
        <v>18813.121996100002</v>
      </c>
      <c r="E50" s="81">
        <f t="shared" si="30"/>
        <v>3600.9000000000015</v>
      </c>
      <c r="F50" s="81">
        <f t="shared" si="30"/>
        <v>14798.067162199994</v>
      </c>
      <c r="G50" s="81">
        <f t="shared" si="30"/>
        <v>1959.3858580000087</v>
      </c>
      <c r="H50" s="81">
        <f t="shared" si="30"/>
        <v>205.52296950000164</v>
      </c>
      <c r="I50" s="29">
        <f t="shared" si="30"/>
        <v>0</v>
      </c>
      <c r="J50" s="29">
        <f t="shared" si="30"/>
        <v>-24630.20336810001</v>
      </c>
      <c r="K50" s="29">
        <f t="shared" si="30"/>
        <v>25470.202129199984</v>
      </c>
      <c r="L50" s="29">
        <f t="shared" si="30"/>
        <v>9186.5087597000238</v>
      </c>
    </row>
    <row r="51" spans="2:12" x14ac:dyDescent="0.2">
      <c r="B51" s="19" t="s">
        <v>56</v>
      </c>
      <c r="C51" s="20"/>
      <c r="D51" s="80"/>
      <c r="E51" s="121"/>
      <c r="F51" s="80"/>
      <c r="G51" s="80"/>
      <c r="H51" s="80"/>
      <c r="I51" s="20"/>
      <c r="J51" s="20"/>
      <c r="K51" s="17">
        <f t="shared" ref="K51:L52" si="31">C51+E51+G51+I51</f>
        <v>0</v>
      </c>
      <c r="L51" s="17">
        <f t="shared" si="31"/>
        <v>0</v>
      </c>
    </row>
    <row r="52" spans="2:12" x14ac:dyDescent="0.2">
      <c r="B52" s="19" t="s">
        <v>57</v>
      </c>
      <c r="C52" s="20"/>
      <c r="D52" s="80"/>
      <c r="E52" s="121"/>
      <c r="F52" s="80"/>
      <c r="G52" s="80"/>
      <c r="H52" s="80"/>
      <c r="I52" s="20"/>
      <c r="J52" s="20"/>
      <c r="K52" s="17">
        <f t="shared" si="31"/>
        <v>0</v>
      </c>
      <c r="L52" s="17">
        <f t="shared" si="31"/>
        <v>0</v>
      </c>
    </row>
    <row r="53" spans="2:12" x14ac:dyDescent="0.2">
      <c r="B53" s="38" t="s">
        <v>58</v>
      </c>
      <c r="C53" s="81">
        <f>+C50-C51-C52</f>
        <v>19909.916271200011</v>
      </c>
      <c r="D53" s="81">
        <f t="shared" ref="D53:L53" si="32">+D50-D51-D52</f>
        <v>18813.121996100002</v>
      </c>
      <c r="E53" s="81">
        <f t="shared" si="32"/>
        <v>3600.9000000000015</v>
      </c>
      <c r="F53" s="81">
        <f t="shared" si="32"/>
        <v>14798.067162199994</v>
      </c>
      <c r="G53" s="81">
        <f t="shared" si="32"/>
        <v>1959.3858580000087</v>
      </c>
      <c r="H53" s="81">
        <f t="shared" si="32"/>
        <v>205.52296950000164</v>
      </c>
      <c r="I53" s="29">
        <f t="shared" si="32"/>
        <v>0</v>
      </c>
      <c r="J53" s="29">
        <f t="shared" si="32"/>
        <v>-24630.20336810001</v>
      </c>
      <c r="K53" s="29">
        <f t="shared" si="32"/>
        <v>25470.202129199984</v>
      </c>
      <c r="L53" s="29">
        <f t="shared" si="32"/>
        <v>9186.5087597000238</v>
      </c>
    </row>
    <row r="54" spans="2:12" x14ac:dyDescent="0.2">
      <c r="C54" s="23"/>
    </row>
    <row r="56" spans="2:12" ht="19" x14ac:dyDescent="0.2">
      <c r="B56" s="12" t="s">
        <v>59</v>
      </c>
    </row>
    <row r="57" spans="2:12" ht="16" x14ac:dyDescent="0.2">
      <c r="B57" s="13" t="s">
        <v>60</v>
      </c>
      <c r="C57" s="15" t="str">
        <f t="shared" ref="C57" si="33">$B$5</f>
        <v>2025-26</v>
      </c>
      <c r="D57" s="15" t="str">
        <f t="shared" ref="D57" si="34">$B$6</f>
        <v>2024-25</v>
      </c>
      <c r="E57" s="120" t="str">
        <f t="shared" ref="E57" si="35">$B$5</f>
        <v>2025-26</v>
      </c>
      <c r="F57" s="15" t="str">
        <f t="shared" ref="F57" si="36">$B$6</f>
        <v>2024-25</v>
      </c>
      <c r="G57" s="15" t="str">
        <f t="shared" ref="G57" si="37">$B$5</f>
        <v>2025-26</v>
      </c>
      <c r="H57" s="15" t="str">
        <f t="shared" ref="H57" si="38">$B$6</f>
        <v>2024-25</v>
      </c>
      <c r="I57" s="15" t="str">
        <f t="shared" ref="I57" si="39">$B$5</f>
        <v>2025-26</v>
      </c>
      <c r="J57" s="15" t="str">
        <f t="shared" ref="J57" si="40">$B$6</f>
        <v>2024-25</v>
      </c>
    </row>
    <row r="58" spans="2:12" ht="32" x14ac:dyDescent="0.2">
      <c r="B58" s="13"/>
      <c r="C58" s="15" t="s">
        <v>61</v>
      </c>
      <c r="D58" s="15" t="s">
        <v>61</v>
      </c>
      <c r="E58" s="15" t="s">
        <v>62</v>
      </c>
      <c r="F58" s="15" t="s">
        <v>62</v>
      </c>
      <c r="G58" s="15" t="s">
        <v>63</v>
      </c>
      <c r="H58" s="15" t="s">
        <v>63</v>
      </c>
      <c r="I58" s="15" t="s">
        <v>64</v>
      </c>
      <c r="J58" s="15" t="s">
        <v>64</v>
      </c>
    </row>
    <row r="59" spans="2:12" x14ac:dyDescent="0.2">
      <c r="B59" s="22" t="s">
        <v>65</v>
      </c>
      <c r="C59" s="83">
        <v>217326.44</v>
      </c>
      <c r="D59" s="83">
        <v>217127.67999999999</v>
      </c>
      <c r="E59" s="83">
        <v>218884.34</v>
      </c>
      <c r="F59" s="83">
        <v>224602.58</v>
      </c>
      <c r="G59" s="83">
        <v>226415.99</v>
      </c>
      <c r="H59" s="83">
        <v>234310.68</v>
      </c>
      <c r="I59" s="41"/>
      <c r="J59" s="41">
        <v>230151.47</v>
      </c>
    </row>
    <row r="60" spans="2:12" x14ac:dyDescent="0.2">
      <c r="B60" s="22" t="s">
        <v>66</v>
      </c>
      <c r="C60" s="83">
        <v>19492.04</v>
      </c>
      <c r="D60" s="83">
        <v>19740.310000000001</v>
      </c>
      <c r="E60" s="83">
        <v>19802.13</v>
      </c>
      <c r="F60" s="83">
        <v>22260.59</v>
      </c>
      <c r="G60" s="83">
        <v>16429.669999999998</v>
      </c>
      <c r="H60" s="83">
        <v>26420.47</v>
      </c>
      <c r="I60" s="41"/>
      <c r="J60" s="41">
        <v>20343.61</v>
      </c>
    </row>
    <row r="61" spans="2:12" x14ac:dyDescent="0.2">
      <c r="B61" s="22" t="s">
        <v>67</v>
      </c>
      <c r="C61" s="79">
        <f>+C62+C63-C64</f>
        <v>67109.250349603943</v>
      </c>
      <c r="D61" s="79">
        <f>+D62+D63-D64</f>
        <v>71649.965929199971</v>
      </c>
      <c r="E61" s="84">
        <f t="shared" ref="E61:J61" si="41">+E62+E63-E64</f>
        <v>67656.95098959998</v>
      </c>
      <c r="F61" s="84">
        <f t="shared" si="41"/>
        <v>75121.119999999995</v>
      </c>
      <c r="G61" s="84">
        <f t="shared" si="41"/>
        <v>65620.421586299955</v>
      </c>
      <c r="H61" s="84">
        <f t="shared" si="41"/>
        <v>77046.55</v>
      </c>
      <c r="I61" s="17">
        <f t="shared" si="41"/>
        <v>0</v>
      </c>
      <c r="J61" s="17">
        <f t="shared" si="41"/>
        <v>73508.571474699958</v>
      </c>
    </row>
    <row r="62" spans="2:12" x14ac:dyDescent="0.2">
      <c r="B62" s="19" t="s">
        <v>68</v>
      </c>
      <c r="C62" s="93"/>
      <c r="D62" s="93"/>
      <c r="E62" s="83"/>
      <c r="F62" s="83"/>
      <c r="G62" s="83"/>
      <c r="H62" s="83"/>
      <c r="I62" s="41"/>
      <c r="J62" s="41"/>
    </row>
    <row r="63" spans="2:12" x14ac:dyDescent="0.2">
      <c r="B63" s="19" t="s">
        <v>69</v>
      </c>
      <c r="C63" s="93">
        <v>67109.250349603943</v>
      </c>
      <c r="D63" s="93">
        <v>71649.965929199971</v>
      </c>
      <c r="E63" s="83">
        <v>67656.95098959998</v>
      </c>
      <c r="F63" s="83">
        <v>75121.119999999995</v>
      </c>
      <c r="G63" s="83">
        <v>65620.421586299955</v>
      </c>
      <c r="H63" s="83">
        <v>77046.55</v>
      </c>
      <c r="I63" s="140"/>
      <c r="J63" s="140">
        <v>73508.571474699958</v>
      </c>
    </row>
    <row r="64" spans="2:12" x14ac:dyDescent="0.2">
      <c r="B64" s="19" t="s">
        <v>70</v>
      </c>
      <c r="C64" s="93"/>
      <c r="D64" s="93"/>
      <c r="E64" s="83"/>
      <c r="F64" s="83"/>
      <c r="G64" s="83"/>
      <c r="H64" s="83"/>
      <c r="I64" s="41"/>
      <c r="J64" s="41"/>
    </row>
    <row r="65" spans="2:10" x14ac:dyDescent="0.2">
      <c r="B65" s="22" t="s">
        <v>71</v>
      </c>
      <c r="C65" s="93"/>
      <c r="D65" s="93"/>
      <c r="E65" s="83"/>
      <c r="F65" s="83"/>
      <c r="G65" s="83"/>
      <c r="H65" s="83"/>
      <c r="I65" s="41"/>
      <c r="J65" s="41"/>
    </row>
    <row r="66" spans="2:10" x14ac:dyDescent="0.2">
      <c r="B66" s="22" t="s">
        <v>72</v>
      </c>
      <c r="C66" s="93">
        <v>63265.37</v>
      </c>
      <c r="D66" s="93">
        <v>69149.06</v>
      </c>
      <c r="E66" s="83">
        <v>65790.009999999995</v>
      </c>
      <c r="F66" s="83">
        <v>73933.47</v>
      </c>
      <c r="G66" s="83">
        <v>69269.47</v>
      </c>
      <c r="H66" s="83">
        <v>59886.63</v>
      </c>
      <c r="I66" s="41"/>
      <c r="J66" s="41">
        <v>75263.31</v>
      </c>
    </row>
    <row r="67" spans="2:10" x14ac:dyDescent="0.2">
      <c r="B67" s="38" t="s">
        <v>73</v>
      </c>
      <c r="C67" s="94">
        <f>+C59+C60+C61+C65+C66</f>
        <v>367193.10034960392</v>
      </c>
      <c r="D67" s="94">
        <f>+D59+D60+D61+D65+D66</f>
        <v>377667.01592919993</v>
      </c>
      <c r="E67" s="85">
        <f t="shared" ref="E67:J67" si="42">+E59+E60+E61+E65+E66</f>
        <v>372133.43098960002</v>
      </c>
      <c r="F67" s="85">
        <f t="shared" si="42"/>
        <v>395917.76</v>
      </c>
      <c r="G67" s="85">
        <f>+G59+G60+G61+G65+G66</f>
        <v>377735.5515862999</v>
      </c>
      <c r="H67" s="85">
        <f t="shared" si="42"/>
        <v>397664.33</v>
      </c>
      <c r="I67" s="42">
        <f t="shared" si="42"/>
        <v>0</v>
      </c>
      <c r="J67" s="42">
        <f t="shared" si="42"/>
        <v>399266.96147469996</v>
      </c>
    </row>
    <row r="68" spans="2:10" x14ac:dyDescent="0.2">
      <c r="B68" s="13" t="s">
        <v>74</v>
      </c>
      <c r="C68" s="43"/>
      <c r="D68" s="86"/>
      <c r="E68" s="86"/>
      <c r="F68" s="86"/>
      <c r="G68" s="86"/>
      <c r="H68" s="86"/>
      <c r="I68" s="43"/>
      <c r="J68" s="43"/>
    </row>
    <row r="69" spans="2:10" x14ac:dyDescent="0.2">
      <c r="B69" s="37" t="s">
        <v>75</v>
      </c>
      <c r="C69" s="83">
        <v>162926.35690000001</v>
      </c>
      <c r="D69" s="83">
        <v>128821.3569</v>
      </c>
      <c r="E69" s="83">
        <v>162926.35999999999</v>
      </c>
      <c r="F69" s="83">
        <v>147926.35999999999</v>
      </c>
      <c r="G69" s="83">
        <v>162926.35999999999</v>
      </c>
      <c r="H69" s="83">
        <f>F69</f>
        <v>147926.35999999999</v>
      </c>
      <c r="I69" s="41"/>
      <c r="J69" s="41">
        <v>162926.35690000001</v>
      </c>
    </row>
    <row r="70" spans="2:10" x14ac:dyDescent="0.2">
      <c r="B70" s="22" t="s">
        <v>76</v>
      </c>
      <c r="C70" s="83">
        <v>-470060.74425412877</v>
      </c>
      <c r="D70" s="83">
        <v>-425524.6576417</v>
      </c>
      <c r="E70" s="83">
        <v>-466479.59546932881</v>
      </c>
      <c r="F70" s="83">
        <v>-429892.68319380004</v>
      </c>
      <c r="G70" s="83">
        <v>-464520.59558182879</v>
      </c>
      <c r="H70" s="83">
        <v>-429686.9439206</v>
      </c>
      <c r="I70" s="41"/>
      <c r="J70" s="41">
        <v>-464900.55134746421</v>
      </c>
    </row>
    <row r="71" spans="2:10" x14ac:dyDescent="0.2">
      <c r="B71" s="22" t="s">
        <v>77</v>
      </c>
      <c r="C71" s="83">
        <v>160385.92000000001</v>
      </c>
      <c r="D71" s="83">
        <v>142354.71384530002</v>
      </c>
      <c r="E71" s="83">
        <v>170914.33</v>
      </c>
      <c r="F71" s="83">
        <v>144516.53259700004</v>
      </c>
      <c r="G71" s="83">
        <v>176099.13610620008</v>
      </c>
      <c r="H71" s="83">
        <v>160065.83765870004</v>
      </c>
      <c r="I71" s="41"/>
      <c r="J71" s="41">
        <v>154014.52584640001</v>
      </c>
    </row>
    <row r="72" spans="2:10" x14ac:dyDescent="0.2">
      <c r="B72" s="22" t="s">
        <v>78</v>
      </c>
      <c r="C72" s="83">
        <v>145987.1</v>
      </c>
      <c r="D72" s="83">
        <v>134066.03609842565</v>
      </c>
      <c r="E72" s="83">
        <v>145625.84158430001</v>
      </c>
      <c r="F72" s="83">
        <v>132014.57848842564</v>
      </c>
      <c r="G72" s="83">
        <v>145232.0621298</v>
      </c>
      <c r="H72" s="83">
        <v>129891.06033842567</v>
      </c>
      <c r="I72" s="41"/>
      <c r="J72" s="41">
        <v>146835.98066330003</v>
      </c>
    </row>
    <row r="73" spans="2:10" ht="21" customHeight="1" x14ac:dyDescent="0.2">
      <c r="B73" s="22" t="s">
        <v>79</v>
      </c>
      <c r="C73" s="85">
        <f>+C74+C75+C76+C77</f>
        <v>131102.30100000001</v>
      </c>
      <c r="D73" s="85">
        <f>+D74+D75+D76+D77</f>
        <v>150083.14435999998</v>
      </c>
      <c r="E73" s="85">
        <f t="shared" ref="E73:J73" si="43">+E74+E75+E76+E77</f>
        <v>126392.81</v>
      </c>
      <c r="F73" s="85">
        <f t="shared" si="43"/>
        <v>145060.90100000001</v>
      </c>
      <c r="G73" s="85">
        <f t="shared" si="43"/>
        <v>121643.45195999999</v>
      </c>
      <c r="H73" s="85">
        <f t="shared" si="43"/>
        <v>140438.84099999999</v>
      </c>
      <c r="I73" s="42">
        <f t="shared" si="43"/>
        <v>0</v>
      </c>
      <c r="J73" s="42">
        <f t="shared" si="43"/>
        <v>135780.99100000001</v>
      </c>
    </row>
    <row r="74" spans="2:10" x14ac:dyDescent="0.2">
      <c r="B74" s="19" t="s">
        <v>80</v>
      </c>
      <c r="C74" s="83">
        <f>17544.581-605.86</f>
        <v>16938.720999999998</v>
      </c>
      <c r="D74" s="83">
        <v>17544.581000000002</v>
      </c>
      <c r="E74" s="83">
        <f>17544.58-605.86</f>
        <v>16938.72</v>
      </c>
      <c r="F74" s="83">
        <f>17544.581-605.86</f>
        <v>16938.720999999998</v>
      </c>
      <c r="G74" s="83">
        <v>16938.720999999998</v>
      </c>
      <c r="H74" s="83">
        <f>17544.581-H76</f>
        <v>16938.720999999998</v>
      </c>
      <c r="I74" s="41"/>
      <c r="J74" s="41">
        <f>17544.581-J76</f>
        <v>16938.720999999998</v>
      </c>
    </row>
    <row r="75" spans="2:10" x14ac:dyDescent="0.2">
      <c r="B75" s="19" t="s">
        <v>81</v>
      </c>
      <c r="C75" s="83">
        <f>113557.72-19006.62</f>
        <v>94551.1</v>
      </c>
      <c r="D75" s="83">
        <f>132040.44009-D74</f>
        <v>114495.85908999998</v>
      </c>
      <c r="E75" s="83">
        <f>108848.23-19006.62</f>
        <v>89841.61</v>
      </c>
      <c r="F75" s="83">
        <f>127516.32-17399.64</f>
        <v>110116.68000000001</v>
      </c>
      <c r="G75" s="83">
        <v>85092.249559999997</v>
      </c>
      <c r="H75" s="83">
        <f>122894.26-H77</f>
        <v>105494.62</v>
      </c>
      <c r="I75" s="41"/>
      <c r="J75" s="41">
        <f>118236.41-J77</f>
        <v>99229.790000000008</v>
      </c>
    </row>
    <row r="76" spans="2:10" x14ac:dyDescent="0.2">
      <c r="B76" s="19" t="s">
        <v>82</v>
      </c>
      <c r="C76" s="87">
        <v>605.86</v>
      </c>
      <c r="D76" s="87">
        <v>605.86</v>
      </c>
      <c r="E76" s="87">
        <v>605.86</v>
      </c>
      <c r="F76" s="87">
        <v>605.86</v>
      </c>
      <c r="G76" s="87">
        <v>605.86</v>
      </c>
      <c r="H76" s="87">
        <v>605.86</v>
      </c>
      <c r="I76" s="139"/>
      <c r="J76" s="139">
        <v>605.86</v>
      </c>
    </row>
    <row r="77" spans="2:10" x14ac:dyDescent="0.2">
      <c r="B77" s="19" t="s">
        <v>83</v>
      </c>
      <c r="C77" s="87">
        <v>19006.62</v>
      </c>
      <c r="D77" s="87">
        <f>18042.70427-D76</f>
        <v>17436.844269999998</v>
      </c>
      <c r="E77" s="87">
        <v>19006.62</v>
      </c>
      <c r="F77" s="87">
        <v>17399.64</v>
      </c>
      <c r="G77" s="87">
        <v>19006.6214</v>
      </c>
      <c r="H77" s="87">
        <v>17399.64</v>
      </c>
      <c r="I77" s="139"/>
      <c r="J77" s="139">
        <v>19006.62</v>
      </c>
    </row>
    <row r="78" spans="2:10" x14ac:dyDescent="0.2">
      <c r="B78" s="73" t="s">
        <v>84</v>
      </c>
      <c r="C78" s="85">
        <f>+C79+C80</f>
        <v>0</v>
      </c>
      <c r="D78" s="85">
        <f>+D79+D80</f>
        <v>0</v>
      </c>
      <c r="E78" s="85">
        <f t="shared" ref="E78:J78" si="44">+E79+E80</f>
        <v>0</v>
      </c>
      <c r="F78" s="85">
        <f t="shared" si="44"/>
        <v>0</v>
      </c>
      <c r="G78" s="85">
        <f t="shared" si="44"/>
        <v>0</v>
      </c>
      <c r="H78" s="85">
        <f t="shared" si="44"/>
        <v>0</v>
      </c>
      <c r="I78" s="42">
        <f t="shared" si="44"/>
        <v>0</v>
      </c>
      <c r="J78" s="42">
        <f t="shared" si="44"/>
        <v>0</v>
      </c>
    </row>
    <row r="79" spans="2:10" x14ac:dyDescent="0.2">
      <c r="B79" s="19" t="s">
        <v>85</v>
      </c>
      <c r="C79" s="87"/>
      <c r="D79" s="87"/>
      <c r="E79" s="87"/>
      <c r="F79" s="87"/>
      <c r="G79" s="87"/>
      <c r="H79" s="87"/>
      <c r="I79" s="20"/>
      <c r="J79" s="20"/>
    </row>
    <row r="80" spans="2:10" x14ac:dyDescent="0.2">
      <c r="B80" s="19" t="s">
        <v>86</v>
      </c>
      <c r="C80" s="87"/>
      <c r="D80" s="87"/>
      <c r="E80" s="87"/>
      <c r="F80" s="87"/>
      <c r="G80" s="87"/>
      <c r="H80" s="87"/>
      <c r="I80" s="20"/>
      <c r="J80" s="20"/>
    </row>
    <row r="81" spans="2:12" x14ac:dyDescent="0.2">
      <c r="B81" s="37" t="s">
        <v>87</v>
      </c>
      <c r="C81" s="83">
        <v>84633.930913500008</v>
      </c>
      <c r="D81" s="83">
        <v>93767.77</v>
      </c>
      <c r="E81" s="83">
        <v>82586.02</v>
      </c>
      <c r="F81" s="83">
        <v>113609.5107626</v>
      </c>
      <c r="G81" s="83">
        <v>78066.47</v>
      </c>
      <c r="H81" s="83">
        <v>92863.816839900013</v>
      </c>
      <c r="I81" s="41"/>
      <c r="J81" s="41">
        <v>96906.338768000001</v>
      </c>
    </row>
    <row r="82" spans="2:12" x14ac:dyDescent="0.2">
      <c r="B82" s="22" t="s">
        <v>88</v>
      </c>
      <c r="C82" s="83">
        <f>171830.72-605.86-19006.62</f>
        <v>152218.24000000002</v>
      </c>
      <c r="D82" s="83">
        <f>508.53+171632.83-D76-D77</f>
        <v>154098.65573</v>
      </c>
      <c r="E82" s="83">
        <f>177809.67-605.86-19006.62+817.1-8846.63</f>
        <v>150167.66000000003</v>
      </c>
      <c r="F82" s="83">
        <f>160688.06-18005.5</f>
        <v>142682.56</v>
      </c>
      <c r="G82" s="83">
        <v>158288.67000000001</v>
      </c>
      <c r="H82" s="83">
        <f>174170.86-H76-H77</f>
        <v>156165.35999999999</v>
      </c>
      <c r="I82" s="41"/>
      <c r="J82" s="41">
        <f>187315.79-J76-J77</f>
        <v>167703.31000000003</v>
      </c>
    </row>
    <row r="83" spans="2:12" ht="16" x14ac:dyDescent="0.2">
      <c r="B83" s="44" t="s">
        <v>89</v>
      </c>
      <c r="C83" s="85">
        <f>+C69+C70+C71+C72+C73+C78+C81+C82</f>
        <v>367193.10455937125</v>
      </c>
      <c r="D83" s="85">
        <f t="shared" ref="D83:J83" si="45">+D69+D70+D71+D72+D73+D81+D82</f>
        <v>377667.01929202565</v>
      </c>
      <c r="E83" s="85">
        <f t="shared" si="45"/>
        <v>372133.42611497123</v>
      </c>
      <c r="F83" s="85">
        <f t="shared" si="45"/>
        <v>395917.75965422567</v>
      </c>
      <c r="G83" s="85">
        <f t="shared" si="45"/>
        <v>377735.55461417127</v>
      </c>
      <c r="H83" s="85">
        <f t="shared" si="45"/>
        <v>397664.33191642573</v>
      </c>
      <c r="I83" s="42">
        <f t="shared" si="45"/>
        <v>0</v>
      </c>
      <c r="J83" s="42">
        <f t="shared" si="45"/>
        <v>399266.95183023589</v>
      </c>
    </row>
    <row r="84" spans="2:12" s="11" customFormat="1" x14ac:dyDescent="0.2">
      <c r="B84" s="11" t="s">
        <v>90</v>
      </c>
      <c r="C84" s="96">
        <f>C83-C67</f>
        <v>4.2097673285752535E-3</v>
      </c>
      <c r="D84" s="96">
        <f t="shared" ref="D84:J84" si="46">D83-D67</f>
        <v>3.3628257224336267E-3</v>
      </c>
      <c r="E84" s="127">
        <f t="shared" si="46"/>
        <v>-4.874628793913871E-3</v>
      </c>
      <c r="F84" s="97">
        <f t="shared" si="46"/>
        <v>-3.4577434416860342E-4</v>
      </c>
      <c r="G84" s="127">
        <f t="shared" si="46"/>
        <v>3.027871367521584E-3</v>
      </c>
      <c r="H84" s="96">
        <f t="shared" si="46"/>
        <v>1.9164257100783288E-3</v>
      </c>
      <c r="I84" s="96">
        <f t="shared" si="46"/>
        <v>0</v>
      </c>
      <c r="J84" s="96">
        <f t="shared" si="46"/>
        <v>-9.6444640657864511E-3</v>
      </c>
    </row>
    <row r="86" spans="2:12" x14ac:dyDescent="0.2">
      <c r="B86" s="13" t="s">
        <v>91</v>
      </c>
      <c r="C86" s="184" t="s">
        <v>13</v>
      </c>
      <c r="D86" s="189"/>
      <c r="E86" s="184" t="s">
        <v>14</v>
      </c>
      <c r="F86" s="189"/>
      <c r="G86" s="184" t="s">
        <v>15</v>
      </c>
      <c r="H86" s="189"/>
      <c r="I86" s="184" t="s">
        <v>16</v>
      </c>
      <c r="J86" s="189"/>
      <c r="K86" s="186" t="s">
        <v>17</v>
      </c>
      <c r="L86" s="187"/>
    </row>
    <row r="87" spans="2:12" ht="16" x14ac:dyDescent="0.2">
      <c r="B87" s="13"/>
      <c r="C87" s="15" t="str">
        <f t="shared" ref="C87" si="47">$B$5</f>
        <v>2025-26</v>
      </c>
      <c r="D87" s="15" t="str">
        <f t="shared" ref="D87" si="48">$B$6</f>
        <v>2024-25</v>
      </c>
      <c r="E87" s="15" t="str">
        <f t="shared" ref="E87" si="49">$B$5</f>
        <v>2025-26</v>
      </c>
      <c r="F87" s="15" t="str">
        <f t="shared" ref="F87" si="50">$B$6</f>
        <v>2024-25</v>
      </c>
      <c r="G87" s="15" t="str">
        <f t="shared" ref="G87" si="51">$B$5</f>
        <v>2025-26</v>
      </c>
      <c r="H87" s="15" t="str">
        <f t="shared" ref="H87" si="52">$B$6</f>
        <v>2024-25</v>
      </c>
      <c r="I87" s="15" t="str">
        <f t="shared" ref="I87" si="53">$B$5</f>
        <v>2025-26</v>
      </c>
      <c r="J87" s="15" t="str">
        <f t="shared" ref="J87" si="54">$B$6</f>
        <v>2024-25</v>
      </c>
      <c r="K87" s="15" t="str">
        <f t="shared" ref="K87" si="55">$B$5</f>
        <v>2025-26</v>
      </c>
      <c r="L87" s="15" t="str">
        <f t="shared" ref="L87" si="56">$B$6</f>
        <v>2024-25</v>
      </c>
    </row>
    <row r="88" spans="2:12" x14ac:dyDescent="0.2">
      <c r="B88" s="22" t="s">
        <v>92</v>
      </c>
      <c r="C88" s="46">
        <f>+C89+C90+C91+C92</f>
        <v>367.5</v>
      </c>
      <c r="D88" s="46">
        <f>+D89+D90+D91+D92</f>
        <v>0</v>
      </c>
      <c r="E88" s="99">
        <f t="shared" ref="E88:L88" si="57">+E89+E90+E91+E92</f>
        <v>367.5</v>
      </c>
      <c r="F88" s="46">
        <f t="shared" si="57"/>
        <v>0</v>
      </c>
      <c r="G88" s="46">
        <f t="shared" si="57"/>
        <v>367.5</v>
      </c>
      <c r="H88" s="46">
        <f t="shared" si="57"/>
        <v>0</v>
      </c>
      <c r="I88" s="46">
        <f t="shared" si="57"/>
        <v>0</v>
      </c>
      <c r="J88" s="46">
        <f t="shared" si="57"/>
        <v>0</v>
      </c>
      <c r="K88" s="46">
        <f t="shared" si="57"/>
        <v>0</v>
      </c>
      <c r="L88" s="46">
        <f t="shared" si="57"/>
        <v>0</v>
      </c>
    </row>
    <row r="89" spans="2:12" x14ac:dyDescent="0.2">
      <c r="B89" s="19" t="s">
        <v>93</v>
      </c>
      <c r="C89" s="158">
        <v>367.5</v>
      </c>
      <c r="D89" s="47"/>
      <c r="E89" s="95">
        <v>367.5</v>
      </c>
      <c r="F89" s="47"/>
      <c r="G89" s="95">
        <v>367.5</v>
      </c>
      <c r="H89" s="47"/>
      <c r="I89" s="47"/>
      <c r="J89" s="47"/>
      <c r="K89" s="47"/>
      <c r="L89" s="47"/>
    </row>
    <row r="90" spans="2:12" x14ac:dyDescent="0.2">
      <c r="B90" s="19" t="s">
        <v>94</v>
      </c>
      <c r="C90" s="47"/>
      <c r="D90" s="47"/>
      <c r="E90" s="47">
        <v>0</v>
      </c>
      <c r="F90" s="47"/>
      <c r="G90" s="47"/>
      <c r="H90" s="47"/>
      <c r="I90" s="47"/>
      <c r="J90" s="47"/>
      <c r="K90" s="47"/>
      <c r="L90" s="47"/>
    </row>
    <row r="91" spans="2:12" x14ac:dyDescent="0.2">
      <c r="B91" s="19" t="s">
        <v>95</v>
      </c>
      <c r="C91" s="47"/>
      <c r="D91" s="47"/>
      <c r="E91" s="47">
        <v>0</v>
      </c>
      <c r="F91" s="47"/>
      <c r="G91" s="47"/>
      <c r="H91" s="47"/>
      <c r="I91" s="47"/>
      <c r="J91" s="47"/>
      <c r="K91" s="47"/>
      <c r="L91" s="47"/>
    </row>
    <row r="92" spans="2:12" x14ac:dyDescent="0.2">
      <c r="B92" s="19" t="s">
        <v>96</v>
      </c>
      <c r="C92" s="47"/>
      <c r="D92" s="47"/>
      <c r="E92" s="47">
        <v>0</v>
      </c>
      <c r="F92" s="47"/>
      <c r="G92" s="47"/>
      <c r="H92" s="47"/>
      <c r="I92" s="47"/>
      <c r="J92" s="47"/>
      <c r="K92" s="47"/>
      <c r="L92" s="47"/>
    </row>
    <row r="93" spans="2:12" x14ac:dyDescent="0.2">
      <c r="B93" s="22" t="s">
        <v>97</v>
      </c>
      <c r="C93" s="99">
        <f>+C94+C95+C96+C97</f>
        <v>315.33999999999997</v>
      </c>
      <c r="D93" s="99">
        <f>+D94+D95+D96+D97</f>
        <v>302.05663099999998</v>
      </c>
      <c r="E93" s="99">
        <f t="shared" ref="E93:L93" si="58">+E94+E95+E96+E97</f>
        <v>393.29300224000002</v>
      </c>
      <c r="F93" s="99">
        <f t="shared" si="58"/>
        <v>467.06606950000003</v>
      </c>
      <c r="G93" s="99">
        <f t="shared" si="58"/>
        <v>354.03583677</v>
      </c>
      <c r="H93" s="99">
        <f t="shared" si="58"/>
        <v>156.78132099999999</v>
      </c>
      <c r="I93" s="99">
        <f t="shared" si="58"/>
        <v>0</v>
      </c>
      <c r="J93" s="99">
        <f t="shared" si="58"/>
        <v>107.38200000000001</v>
      </c>
      <c r="K93" s="46">
        <f t="shared" si="58"/>
        <v>1062.6688390100001</v>
      </c>
      <c r="L93" s="46">
        <f t="shared" si="58"/>
        <v>1033.2860215000001</v>
      </c>
    </row>
    <row r="94" spans="2:12" x14ac:dyDescent="0.2">
      <c r="B94" s="19" t="s">
        <v>98</v>
      </c>
      <c r="C94" s="95">
        <v>315.33999999999997</v>
      </c>
      <c r="D94" s="95">
        <v>302.05663099999998</v>
      </c>
      <c r="E94" s="159">
        <v>393.29300224000002</v>
      </c>
      <c r="F94" s="95">
        <v>467.06606950000003</v>
      </c>
      <c r="G94" s="142">
        <v>354.03583677</v>
      </c>
      <c r="H94" s="142">
        <v>156.78132099999999</v>
      </c>
      <c r="I94" s="153"/>
      <c r="J94" s="153">
        <v>107.38200000000001</v>
      </c>
      <c r="K94" s="46">
        <f t="shared" ref="K94:L98" si="59">C94+E94+G94+I94</f>
        <v>1062.6688390100001</v>
      </c>
      <c r="L94" s="46">
        <f t="shared" si="59"/>
        <v>1033.2860215000001</v>
      </c>
    </row>
    <row r="95" spans="2:12" x14ac:dyDescent="0.2">
      <c r="B95" s="19" t="s">
        <v>99</v>
      </c>
      <c r="C95" s="47"/>
      <c r="D95" s="47"/>
      <c r="E95" s="158">
        <v>0</v>
      </c>
      <c r="F95" s="92"/>
      <c r="G95" s="153"/>
      <c r="H95" s="92"/>
      <c r="I95" s="92"/>
      <c r="J95" s="92"/>
      <c r="K95" s="46">
        <f t="shared" si="59"/>
        <v>0</v>
      </c>
      <c r="L95" s="46">
        <f t="shared" si="59"/>
        <v>0</v>
      </c>
    </row>
    <row r="96" spans="2:12" x14ac:dyDescent="0.2">
      <c r="B96" s="19" t="s">
        <v>100</v>
      </c>
      <c r="C96" s="47"/>
      <c r="D96" s="47"/>
      <c r="E96" s="158">
        <v>0</v>
      </c>
      <c r="F96" s="92"/>
      <c r="G96" s="153"/>
      <c r="H96" s="92"/>
      <c r="I96" s="92"/>
      <c r="J96" s="92"/>
      <c r="K96" s="46">
        <f t="shared" si="59"/>
        <v>0</v>
      </c>
      <c r="L96" s="46">
        <f t="shared" si="59"/>
        <v>0</v>
      </c>
    </row>
    <row r="97" spans="1:21" x14ac:dyDescent="0.2">
      <c r="B97" s="19" t="s">
        <v>101</v>
      </c>
      <c r="C97" s="47"/>
      <c r="D97" s="47"/>
      <c r="E97" s="158">
        <v>0</v>
      </c>
      <c r="F97" s="92"/>
      <c r="G97" s="153"/>
      <c r="H97" s="92"/>
      <c r="I97" s="92"/>
      <c r="J97" s="92"/>
      <c r="K97" s="46">
        <f t="shared" si="59"/>
        <v>0</v>
      </c>
      <c r="L97" s="46">
        <f t="shared" si="59"/>
        <v>0</v>
      </c>
    </row>
    <row r="98" spans="1:21" x14ac:dyDescent="0.2">
      <c r="B98" s="22" t="s">
        <v>102</v>
      </c>
      <c r="C98" s="88">
        <v>0.97</v>
      </c>
      <c r="D98" s="88">
        <v>2.085105800000008</v>
      </c>
      <c r="E98" s="163">
        <v>1.31</v>
      </c>
      <c r="F98" s="149">
        <v>3.1308325000001105</v>
      </c>
      <c r="G98" s="98">
        <v>0.68400000000000005</v>
      </c>
      <c r="H98" s="98">
        <v>1.779696290000004</v>
      </c>
      <c r="I98" s="154"/>
      <c r="J98" s="154">
        <v>1.0740000000000001</v>
      </c>
      <c r="K98" s="46">
        <f t="shared" si="59"/>
        <v>2.9640000000000004</v>
      </c>
      <c r="L98" s="46">
        <f t="shared" si="59"/>
        <v>8.0696345900001223</v>
      </c>
      <c r="O98" s="106"/>
    </row>
    <row r="99" spans="1:21" x14ac:dyDescent="0.2">
      <c r="B99" s="22" t="s">
        <v>103</v>
      </c>
      <c r="C99" s="157">
        <v>422.74</v>
      </c>
      <c r="D99" s="157">
        <f>D192</f>
        <v>437.92770090099998</v>
      </c>
      <c r="E99" s="157">
        <v>474.44247889999997</v>
      </c>
      <c r="F99" s="157">
        <f>F192</f>
        <v>404.41</v>
      </c>
      <c r="G99" s="160">
        <v>338.29765135000002</v>
      </c>
      <c r="H99" s="155">
        <f t="shared" ref="H99" si="60">H192</f>
        <v>425.81260878900002</v>
      </c>
      <c r="I99" s="155"/>
      <c r="J99" s="155">
        <f t="shared" ref="J99" si="61">J192</f>
        <v>415</v>
      </c>
      <c r="K99" s="46">
        <f t="shared" ref="K99:L99" si="62">K192</f>
        <v>2464.7600000000002</v>
      </c>
      <c r="L99" s="46">
        <f t="shared" si="62"/>
        <v>1683.1503096900001</v>
      </c>
    </row>
    <row r="100" spans="1:21" x14ac:dyDescent="0.2">
      <c r="B100" s="38" t="s">
        <v>104</v>
      </c>
      <c r="C100" s="42">
        <f>+C93-C98+C99</f>
        <v>737.1099999999999</v>
      </c>
      <c r="D100" s="42">
        <f>+D93-D98+D99</f>
        <v>737.89922610099995</v>
      </c>
      <c r="E100" s="51">
        <f t="shared" ref="E100:L100" si="63">+E93-E98+E99</f>
        <v>866.42548113999999</v>
      </c>
      <c r="F100" s="42">
        <f t="shared" si="63"/>
        <v>868.345237</v>
      </c>
      <c r="G100" s="42">
        <f t="shared" si="63"/>
        <v>691.64948812</v>
      </c>
      <c r="H100" s="42">
        <f t="shared" si="63"/>
        <v>580.81423349900001</v>
      </c>
      <c r="I100" s="42">
        <f t="shared" si="63"/>
        <v>0</v>
      </c>
      <c r="J100" s="42">
        <f t="shared" si="63"/>
        <v>521.30799999999999</v>
      </c>
      <c r="K100" s="46">
        <f t="shared" si="63"/>
        <v>3524.4648390100001</v>
      </c>
      <c r="L100" s="46">
        <f t="shared" si="63"/>
        <v>2708.3666966000001</v>
      </c>
    </row>
    <row r="101" spans="1:21" x14ac:dyDescent="0.2">
      <c r="A101" s="102"/>
      <c r="B101" s="22" t="s">
        <v>105</v>
      </c>
      <c r="C101" s="142">
        <v>27.66</v>
      </c>
      <c r="D101" s="142">
        <v>31.625065179383185</v>
      </c>
      <c r="E101" s="142">
        <v>28.25</v>
      </c>
      <c r="F101" s="142">
        <v>31.91</v>
      </c>
      <c r="G101" s="142">
        <v>22.12</v>
      </c>
      <c r="H101" s="152">
        <v>28.859881180410419</v>
      </c>
      <c r="I101" s="142"/>
      <c r="J101" s="142">
        <v>35.69</v>
      </c>
      <c r="K101" s="101">
        <f>C101+E101+G101+I101</f>
        <v>78.03</v>
      </c>
      <c r="L101" s="101">
        <f>D101+F101+H101+J101</f>
        <v>128.08494635979361</v>
      </c>
    </row>
    <row r="102" spans="1:21" x14ac:dyDescent="0.2">
      <c r="B102" s="49" t="s">
        <v>106</v>
      </c>
      <c r="C102" s="42">
        <f>+C103+C104+C105</f>
        <v>673.83184913052401</v>
      </c>
      <c r="D102" s="42">
        <f>+D103+D104+D105</f>
        <v>641.02761444034195</v>
      </c>
      <c r="E102" s="42">
        <f t="shared" ref="E102:L102" si="64">+E103+E104+E105</f>
        <v>776.29407971188516</v>
      </c>
      <c r="F102" s="42">
        <f t="shared" si="64"/>
        <v>751.31158721013469</v>
      </c>
      <c r="G102" s="42">
        <f t="shared" si="64"/>
        <v>498.67245439986823</v>
      </c>
      <c r="H102" s="42">
        <f t="shared" si="64"/>
        <v>445.31217786015452</v>
      </c>
      <c r="I102" s="42">
        <f t="shared" si="64"/>
        <v>0</v>
      </c>
      <c r="J102" s="42">
        <f t="shared" si="64"/>
        <v>355.92928847227972</v>
      </c>
      <c r="K102" s="42">
        <f t="shared" si="64"/>
        <v>1948.7983832422772</v>
      </c>
      <c r="L102" s="42">
        <f t="shared" si="64"/>
        <v>2193.5806679829111</v>
      </c>
      <c r="P102" s="106"/>
      <c r="Q102" s="106"/>
      <c r="R102" s="106"/>
      <c r="S102" s="106"/>
      <c r="T102" s="106"/>
      <c r="U102" s="106"/>
    </row>
    <row r="103" spans="1:21" s="195" customFormat="1" x14ac:dyDescent="0.2">
      <c r="B103" s="191" t="s">
        <v>107</v>
      </c>
      <c r="C103" s="155">
        <f>C146-C144-C145</f>
        <v>331.44484913052395</v>
      </c>
      <c r="D103" s="155">
        <f>D146-D144-D145</f>
        <v>319.58104039224571</v>
      </c>
      <c r="E103" s="155">
        <f>E146-E144-E145</f>
        <v>375.30407971188515</v>
      </c>
      <c r="F103" s="155">
        <f t="shared" ref="F103:G103" si="65">F146-F144-F145</f>
        <v>333.42740653643517</v>
      </c>
      <c r="G103" s="155">
        <f t="shared" si="65"/>
        <v>363.22698139986824</v>
      </c>
      <c r="H103" s="155">
        <f t="shared" ref="H103" si="66">H146-H144-H145</f>
        <v>285.2798039273747</v>
      </c>
      <c r="I103" s="155"/>
      <c r="J103" s="155">
        <f t="shared" ref="J103" si="67">J146-J144-J145</f>
        <v>310.96928847227974</v>
      </c>
      <c r="K103" s="155">
        <f t="shared" ref="K103:L103" si="68">K146-K144-K145</f>
        <v>1069.975910242277</v>
      </c>
      <c r="L103" s="155">
        <f t="shared" si="68"/>
        <v>1249.2575393283355</v>
      </c>
    </row>
    <row r="104" spans="1:21" s="195" customFormat="1" x14ac:dyDescent="0.2">
      <c r="B104" s="191" t="s">
        <v>108</v>
      </c>
      <c r="C104" s="155">
        <f>C144</f>
        <v>39.116999999999997</v>
      </c>
      <c r="D104" s="155">
        <f>D144</f>
        <v>20.803455950096229</v>
      </c>
      <c r="E104" s="155">
        <f>E144</f>
        <v>44.356000000000002</v>
      </c>
      <c r="F104" s="155">
        <f t="shared" ref="F104:G105" si="69">F144</f>
        <v>17.674180673699549</v>
      </c>
      <c r="G104" s="166">
        <f t="shared" si="69"/>
        <v>4.8324730000000002</v>
      </c>
      <c r="H104" s="155">
        <f t="shared" ref="H104:H105" si="70">H144</f>
        <v>16.920299326779872</v>
      </c>
      <c r="I104" s="155"/>
      <c r="J104" s="155">
        <f t="shared" ref="J104:J105" si="71">J144</f>
        <v>44.96</v>
      </c>
      <c r="K104" s="155">
        <f t="shared" ref="K104:L105" si="72">K144</f>
        <v>88.305473000000006</v>
      </c>
      <c r="L104" s="155">
        <f t="shared" si="72"/>
        <v>100.35793595057564</v>
      </c>
    </row>
    <row r="105" spans="1:21" x14ac:dyDescent="0.2">
      <c r="B105" s="19" t="s">
        <v>109</v>
      </c>
      <c r="C105" s="157">
        <f>C145</f>
        <v>303.27</v>
      </c>
      <c r="D105" s="157">
        <f>D145</f>
        <v>300.643118098</v>
      </c>
      <c r="E105" s="160">
        <v>356.63400000000001</v>
      </c>
      <c r="F105" s="157">
        <f t="shared" si="69"/>
        <v>400.21</v>
      </c>
      <c r="G105" s="157">
        <f t="shared" si="69"/>
        <v>130.613</v>
      </c>
      <c r="H105" s="156">
        <f t="shared" si="70"/>
        <v>143.11207460599999</v>
      </c>
      <c r="I105" s="155"/>
      <c r="J105" s="155">
        <f t="shared" si="71"/>
        <v>0</v>
      </c>
      <c r="K105" s="46">
        <f t="shared" si="72"/>
        <v>790.51700000000005</v>
      </c>
      <c r="L105" s="46">
        <f t="shared" si="72"/>
        <v>843.96519270399995</v>
      </c>
    </row>
    <row r="106" spans="1:21" x14ac:dyDescent="0.2">
      <c r="B106" s="38" t="s">
        <v>110</v>
      </c>
      <c r="C106" s="42">
        <f t="shared" ref="C106:D106" si="73">+C100-C101-C105</f>
        <v>406.17999999999995</v>
      </c>
      <c r="D106" s="42">
        <f t="shared" si="73"/>
        <v>405.63104282361672</v>
      </c>
      <c r="E106" s="42">
        <f t="shared" ref="E106:L106" si="74">+E100-E101-E105</f>
        <v>481.54148113999997</v>
      </c>
      <c r="F106" s="42">
        <f t="shared" si="74"/>
        <v>436.22523700000005</v>
      </c>
      <c r="G106" s="42">
        <f t="shared" si="74"/>
        <v>538.91648811999994</v>
      </c>
      <c r="H106" s="42">
        <f t="shared" si="74"/>
        <v>408.84227771258963</v>
      </c>
      <c r="I106" s="42">
        <f t="shared" si="74"/>
        <v>0</v>
      </c>
      <c r="J106" s="42">
        <f t="shared" si="74"/>
        <v>485.61799999999999</v>
      </c>
      <c r="K106" s="51">
        <f>+K100-K101-K105</f>
        <v>2655.9178390099996</v>
      </c>
      <c r="L106" s="42">
        <f t="shared" si="74"/>
        <v>1736.3165575362063</v>
      </c>
    </row>
    <row r="107" spans="1:21" x14ac:dyDescent="0.2">
      <c r="A107" s="102"/>
      <c r="B107" s="38" t="s">
        <v>111</v>
      </c>
      <c r="C107" s="103">
        <f>+C102-C105</f>
        <v>370.56184913052402</v>
      </c>
      <c r="D107" s="103">
        <f>+D102-D105</f>
        <v>340.38449634234195</v>
      </c>
      <c r="E107" s="103">
        <f t="shared" ref="E107:L107" si="75">+E102-E105</f>
        <v>419.66007971188515</v>
      </c>
      <c r="F107" s="103">
        <f t="shared" si="75"/>
        <v>351.10158721013471</v>
      </c>
      <c r="G107" s="103">
        <f t="shared" si="75"/>
        <v>368.05945439986823</v>
      </c>
      <c r="H107" s="103">
        <f t="shared" si="75"/>
        <v>302.20010325415456</v>
      </c>
      <c r="I107" s="103">
        <f t="shared" si="75"/>
        <v>0</v>
      </c>
      <c r="J107" s="103">
        <f t="shared" si="75"/>
        <v>355.92928847227972</v>
      </c>
      <c r="K107" s="103">
        <f t="shared" si="75"/>
        <v>1158.2813832422771</v>
      </c>
      <c r="L107" s="103">
        <f t="shared" si="75"/>
        <v>1349.6154752789112</v>
      </c>
      <c r="M107" s="104"/>
    </row>
    <row r="108" spans="1:21" x14ac:dyDescent="0.2">
      <c r="B108" s="38" t="s">
        <v>112</v>
      </c>
      <c r="C108" s="42">
        <f t="shared" ref="C108:D108" si="76">+C14+C15+C16+C21</f>
        <v>32322.9113688</v>
      </c>
      <c r="D108" s="42">
        <f t="shared" si="76"/>
        <v>26418.43</v>
      </c>
      <c r="E108" s="42">
        <f t="shared" ref="E108:L108" si="77">+E14+E15+E16+E21</f>
        <v>30998.569999999996</v>
      </c>
      <c r="F108" s="42">
        <f t="shared" si="77"/>
        <v>28228.269999999997</v>
      </c>
      <c r="G108" s="42">
        <f t="shared" si="77"/>
        <v>28968.91966</v>
      </c>
      <c r="H108" s="42">
        <f t="shared" si="77"/>
        <v>24020.416006000003</v>
      </c>
      <c r="I108" s="42">
        <f t="shared" si="77"/>
        <v>0</v>
      </c>
      <c r="J108" s="42">
        <f t="shared" si="77"/>
        <v>26442.185898</v>
      </c>
      <c r="K108" s="42">
        <f t="shared" si="77"/>
        <v>92290.401028799984</v>
      </c>
      <c r="L108" s="42">
        <f t="shared" si="77"/>
        <v>105109.30190400001</v>
      </c>
    </row>
    <row r="109" spans="1:21" x14ac:dyDescent="0.2">
      <c r="A109" s="102"/>
      <c r="B109" s="22" t="s">
        <v>113</v>
      </c>
      <c r="C109" s="141">
        <f>59832.266358504/100</f>
        <v>598.32266358504</v>
      </c>
      <c r="D109" s="141">
        <v>681.78</v>
      </c>
      <c r="E109" s="141">
        <f>C110</f>
        <v>671.09250349603894</v>
      </c>
      <c r="F109" s="141">
        <v>716.5</v>
      </c>
      <c r="G109" s="141">
        <f>E110</f>
        <v>676.569509896</v>
      </c>
      <c r="H109" s="141">
        <f>F110</f>
        <v>751.21</v>
      </c>
      <c r="I109" s="141"/>
      <c r="J109" s="141">
        <f>H110</f>
        <v>770.465530801</v>
      </c>
      <c r="K109" s="103">
        <f>SUM(C109,E109,G109,I109)</f>
        <v>1945.9846769770788</v>
      </c>
      <c r="L109" s="103">
        <f>SUM(D109,F109,H109,J109)</f>
        <v>2919.9555308009999</v>
      </c>
    </row>
    <row r="110" spans="1:21" x14ac:dyDescent="0.2">
      <c r="A110" s="102"/>
      <c r="B110" s="22" t="s">
        <v>114</v>
      </c>
      <c r="C110" s="141">
        <f>67109.2503496039/100</f>
        <v>671.09250349603894</v>
      </c>
      <c r="D110" s="141">
        <v>716.5</v>
      </c>
      <c r="E110" s="141">
        <f>67656.9509896/100</f>
        <v>676.569509896</v>
      </c>
      <c r="F110" s="141">
        <v>751.21</v>
      </c>
      <c r="G110" s="141">
        <f>65620.4215863/100</f>
        <v>656.20421586299994</v>
      </c>
      <c r="H110" s="141">
        <f>77046.5530801/100</f>
        <v>770.465530801</v>
      </c>
      <c r="I110" s="141"/>
      <c r="J110" s="141">
        <f>73508.5714747/100</f>
        <v>735.085714747</v>
      </c>
      <c r="K110" s="103">
        <f>SUM(C110,E110,G110,I110)</f>
        <v>2003.8662292550389</v>
      </c>
      <c r="L110" s="103">
        <f>SUM(D110,F110,H110,J110)</f>
        <v>2973.2612455480003</v>
      </c>
    </row>
    <row r="111" spans="1:21" x14ac:dyDescent="0.2">
      <c r="B111" s="38" t="s">
        <v>115</v>
      </c>
      <c r="C111" s="42">
        <f t="shared" ref="C111:D111" si="78">+C14+C15+C16+C29+C109-C110</f>
        <v>32250.141528888998</v>
      </c>
      <c r="D111" s="42">
        <f t="shared" si="78"/>
        <v>26383.71</v>
      </c>
      <c r="E111" s="42">
        <f t="shared" ref="E111:L111" si="79">+E14+E15+E16+E29+E109-E110</f>
        <v>30993.092993600036</v>
      </c>
      <c r="F111" s="42">
        <f t="shared" si="79"/>
        <v>28193.559999999998</v>
      </c>
      <c r="G111" s="42">
        <f t="shared" si="79"/>
        <v>28989.284954032999</v>
      </c>
      <c r="H111" s="42">
        <f t="shared" si="79"/>
        <v>24001.160475199002</v>
      </c>
      <c r="I111" s="42">
        <f t="shared" si="79"/>
        <v>0</v>
      </c>
      <c r="J111" s="42">
        <f t="shared" si="79"/>
        <v>26477.565714053999</v>
      </c>
      <c r="K111" s="42">
        <f t="shared" si="79"/>
        <v>92232.519476522022</v>
      </c>
      <c r="L111" s="42">
        <f t="shared" si="79"/>
        <v>105055.99618925301</v>
      </c>
      <c r="M111" s="50"/>
    </row>
    <row r="112" spans="1:21" x14ac:dyDescent="0.2">
      <c r="B112" s="38" t="s">
        <v>116</v>
      </c>
      <c r="C112" s="51">
        <f>+C107/C106*100</f>
        <v>91.230944194821035</v>
      </c>
      <c r="D112" s="51">
        <f>+D107/D106*100</f>
        <v>83.914804442211704</v>
      </c>
      <c r="E112" s="51">
        <f t="shared" ref="E112:L112" si="80">+E107/E106*100</f>
        <v>87.149310318683874</v>
      </c>
      <c r="F112" s="51">
        <f t="shared" si="80"/>
        <v>80.486307858922586</v>
      </c>
      <c r="G112" s="51">
        <f t="shared" si="80"/>
        <v>68.296194774785363</v>
      </c>
      <c r="H112" s="51">
        <f t="shared" si="80"/>
        <v>73.916059988932204</v>
      </c>
      <c r="I112" s="51" t="e">
        <f t="shared" si="80"/>
        <v>#DIV/0!</v>
      </c>
      <c r="J112" s="51">
        <f t="shared" si="80"/>
        <v>73.294088866615269</v>
      </c>
      <c r="K112" s="51">
        <f t="shared" si="80"/>
        <v>43.611340916857181</v>
      </c>
      <c r="L112" s="51">
        <f t="shared" si="80"/>
        <v>77.728653189484348</v>
      </c>
    </row>
    <row r="113" spans="1:14" x14ac:dyDescent="0.2">
      <c r="B113" s="38" t="s">
        <v>117</v>
      </c>
      <c r="C113" s="51">
        <f>+C111/C108*100</f>
        <v>99.774866072301762</v>
      </c>
      <c r="D113" s="51">
        <f>+D111/D108*100</f>
        <v>99.868576595959709</v>
      </c>
      <c r="E113" s="51">
        <f t="shared" ref="E113:K113" si="81">+E111/E108*100</f>
        <v>99.982331422385101</v>
      </c>
      <c r="F113" s="51">
        <f t="shared" si="81"/>
        <v>99.877038160680769</v>
      </c>
      <c r="G113" s="51">
        <f t="shared" si="81"/>
        <v>100.07030049539998</v>
      </c>
      <c r="H113" s="51">
        <f t="shared" si="81"/>
        <v>99.919836813832902</v>
      </c>
      <c r="I113" s="51" t="e">
        <f t="shared" si="81"/>
        <v>#DIV/0!</v>
      </c>
      <c r="J113" s="51">
        <f t="shared" si="81"/>
        <v>100.13380064791345</v>
      </c>
      <c r="K113" s="51">
        <f t="shared" si="81"/>
        <v>99.937283236790904</v>
      </c>
      <c r="L113" s="51">
        <f>+L111/L108*100</f>
        <v>99.949285444978329</v>
      </c>
    </row>
    <row r="114" spans="1:14" x14ac:dyDescent="0.2">
      <c r="B114" s="38" t="s">
        <v>118</v>
      </c>
      <c r="C114" s="42">
        <f>C113*C107/100</f>
        <v>369.72758868502524</v>
      </c>
      <c r="D114" s="42">
        <f>D113*D107/100</f>
        <v>339.93715145042341</v>
      </c>
      <c r="E114" s="42">
        <f t="shared" ref="E114:J114" si="82">E113*E107/100</f>
        <v>419.58593174498253</v>
      </c>
      <c r="F114" s="42">
        <f t="shared" si="82"/>
        <v>350.66986624062213</v>
      </c>
      <c r="G114" s="42">
        <f t="shared" si="82"/>
        <v>368.31820201967776</v>
      </c>
      <c r="H114" s="42">
        <f t="shared" si="82"/>
        <v>301.95785002278575</v>
      </c>
      <c r="I114" s="42" t="e">
        <f t="shared" si="82"/>
        <v>#DIV/0!</v>
      </c>
      <c r="J114" s="42">
        <f t="shared" si="82"/>
        <v>356.40552416636933</v>
      </c>
      <c r="K114" s="42" t="e">
        <f>SUM(C114,E114,G114,I114)</f>
        <v>#DIV/0!</v>
      </c>
      <c r="L114" s="42">
        <f>SUM(D114,F114,H114,J114)</f>
        <v>1348.9703918802006</v>
      </c>
    </row>
    <row r="115" spans="1:14" x14ac:dyDescent="0.2">
      <c r="A115" s="102"/>
      <c r="B115" s="38" t="s">
        <v>119</v>
      </c>
      <c r="C115" s="51">
        <f>100-C112*C113/100</f>
        <v>8.9744476131209581</v>
      </c>
      <c r="D115" s="51">
        <f>100-D112*D113/100</f>
        <v>16.195479250280002</v>
      </c>
      <c r="E115" s="51">
        <f t="shared" ref="E115:J115" si="83">100-E112*E113/100</f>
        <v>12.866087724850644</v>
      </c>
      <c r="F115" s="51">
        <f t="shared" si="83"/>
        <v>19.612659585620889</v>
      </c>
      <c r="G115" s="51">
        <f t="shared" si="83"/>
        <v>31.655792661948624</v>
      </c>
      <c r="H115" s="51">
        <f t="shared" si="83"/>
        <v>26.143193479844101</v>
      </c>
      <c r="I115" s="51" t="e">
        <f t="shared" si="83"/>
        <v>#DIV/0!</v>
      </c>
      <c r="J115" s="51">
        <f t="shared" si="83"/>
        <v>26.607843167598944</v>
      </c>
      <c r="K115" s="105" t="e">
        <f>(K106-K114)/K106*100</f>
        <v>#DIV/0!</v>
      </c>
      <c r="L115" s="105">
        <f>(L106-L114)/L106*100</f>
        <v>22.308499217771736</v>
      </c>
    </row>
    <row r="116" spans="1:14" x14ac:dyDescent="0.2">
      <c r="B116" s="52"/>
    </row>
    <row r="118" spans="1:14" hidden="1" x14ac:dyDescent="0.2"/>
    <row r="119" spans="1:14" x14ac:dyDescent="0.2">
      <c r="B119" s="13" t="s">
        <v>120</v>
      </c>
      <c r="C119" s="184" t="s">
        <v>13</v>
      </c>
      <c r="D119" s="189"/>
      <c r="E119" s="184" t="s">
        <v>14</v>
      </c>
      <c r="F119" s="189"/>
      <c r="G119" s="184" t="s">
        <v>15</v>
      </c>
      <c r="H119" s="189"/>
      <c r="I119" s="184" t="s">
        <v>16</v>
      </c>
      <c r="J119" s="189"/>
      <c r="K119" s="186" t="s">
        <v>17</v>
      </c>
      <c r="L119" s="187"/>
    </row>
    <row r="120" spans="1:14" ht="16" x14ac:dyDescent="0.2">
      <c r="B120" s="13"/>
      <c r="C120" s="15" t="str">
        <f t="shared" ref="C120" si="84">$B$5</f>
        <v>2025-26</v>
      </c>
      <c r="D120" s="15" t="str">
        <f t="shared" ref="D120" si="85">$B$6</f>
        <v>2024-25</v>
      </c>
      <c r="E120" s="120" t="str">
        <f t="shared" ref="E120" si="86">$B$5</f>
        <v>2025-26</v>
      </c>
      <c r="F120" s="15" t="str">
        <f t="shared" ref="F120" si="87">$B$6</f>
        <v>2024-25</v>
      </c>
      <c r="G120" s="120" t="str">
        <f t="shared" ref="G120" si="88">$B$5</f>
        <v>2025-26</v>
      </c>
      <c r="H120" s="15" t="str">
        <f t="shared" ref="H120" si="89">$B$6</f>
        <v>2024-25</v>
      </c>
      <c r="I120" s="15" t="str">
        <f t="shared" ref="I120" si="90">$B$5</f>
        <v>2025-26</v>
      </c>
      <c r="J120" s="15" t="str">
        <f t="shared" ref="J120" si="91">$B$6</f>
        <v>2024-25</v>
      </c>
      <c r="K120" s="15" t="str">
        <f t="shared" ref="K120" si="92">$B$5</f>
        <v>2025-26</v>
      </c>
      <c r="L120" s="15" t="str">
        <f t="shared" ref="L120" si="93">$B$6</f>
        <v>2024-25</v>
      </c>
    </row>
    <row r="121" spans="1:14" x14ac:dyDescent="0.2">
      <c r="B121" s="38" t="s">
        <v>121</v>
      </c>
      <c r="C121" s="51">
        <f>+C48*10/C100</f>
        <v>651.55891505474085</v>
      </c>
      <c r="D121" s="51">
        <f t="shared" ref="D121:L121" si="94">+D48*10/D100</f>
        <v>697.59601708613627</v>
      </c>
      <c r="E121" s="129">
        <f t="shared" si="94"/>
        <v>563.77266208433662</v>
      </c>
      <c r="F121" s="129">
        <f t="shared" si="94"/>
        <v>629.35950482791679</v>
      </c>
      <c r="G121" s="129">
        <f t="shared" si="94"/>
        <v>698.58020531950478</v>
      </c>
      <c r="H121" s="51">
        <f t="shared" si="94"/>
        <v>804.74169434383316</v>
      </c>
      <c r="I121" s="51" t="e">
        <f t="shared" si="94"/>
        <v>#DIV/0!</v>
      </c>
      <c r="J121" s="51">
        <f t="shared" si="94"/>
        <v>1222.803495572675</v>
      </c>
      <c r="K121" s="51">
        <f t="shared" si="94"/>
        <v>411.95196990639641</v>
      </c>
      <c r="L121" s="51">
        <f t="shared" si="94"/>
        <v>799.78814067950225</v>
      </c>
      <c r="N121" s="53"/>
    </row>
    <row r="122" spans="1:14" x14ac:dyDescent="0.2">
      <c r="B122" s="54" t="s">
        <v>122</v>
      </c>
      <c r="C122" s="51">
        <f t="shared" ref="C122:L122" si="95">C28*10/C100</f>
        <v>921.66671811262916</v>
      </c>
      <c r="D122" s="51">
        <f t="shared" si="95"/>
        <v>952.55118346443726</v>
      </c>
      <c r="E122" s="129">
        <f t="shared" si="95"/>
        <v>605.33307412649071</v>
      </c>
      <c r="F122" s="129">
        <f t="shared" si="95"/>
        <v>799.77636820964108</v>
      </c>
      <c r="G122" s="129">
        <f t="shared" si="95"/>
        <v>726.90937915184429</v>
      </c>
      <c r="H122" s="51">
        <f t="shared" si="95"/>
        <v>808.28022624691459</v>
      </c>
      <c r="I122" s="51" t="e">
        <f t="shared" si="95"/>
        <v>#DIV/0!</v>
      </c>
      <c r="J122" s="51">
        <f t="shared" si="95"/>
        <v>750.33418054010292</v>
      </c>
      <c r="K122" s="51">
        <f t="shared" si="95"/>
        <v>484.21883393433893</v>
      </c>
      <c r="L122" s="51">
        <f t="shared" si="95"/>
        <v>833.70713979890695</v>
      </c>
      <c r="M122" s="52"/>
      <c r="N122" s="53"/>
    </row>
    <row r="123" spans="1:14" x14ac:dyDescent="0.2">
      <c r="B123" s="38" t="s">
        <v>123</v>
      </c>
      <c r="C123" s="51">
        <f>+C121-C122</f>
        <v>-270.1078030578883</v>
      </c>
      <c r="D123" s="51">
        <f t="shared" ref="D123:L123" si="96">+D121-D122</f>
        <v>-254.95516637830099</v>
      </c>
      <c r="E123" s="129">
        <f t="shared" si="96"/>
        <v>-41.560412042154098</v>
      </c>
      <c r="F123" s="129">
        <f t="shared" si="96"/>
        <v>-170.41686338172428</v>
      </c>
      <c r="G123" s="129">
        <f t="shared" si="96"/>
        <v>-28.329173832339507</v>
      </c>
      <c r="H123" s="51">
        <f t="shared" si="96"/>
        <v>-3.5385319030814344</v>
      </c>
      <c r="I123" s="51" t="e">
        <f t="shared" si="96"/>
        <v>#DIV/0!</v>
      </c>
      <c r="J123" s="51">
        <f t="shared" si="96"/>
        <v>472.46931503257213</v>
      </c>
      <c r="K123" s="51">
        <f t="shared" si="96"/>
        <v>-72.266864027942518</v>
      </c>
      <c r="L123" s="51">
        <f t="shared" si="96"/>
        <v>-33.918999119404702</v>
      </c>
    </row>
    <row r="124" spans="1:14" x14ac:dyDescent="0.2">
      <c r="B124" s="38" t="s">
        <v>124</v>
      </c>
      <c r="C124" s="51">
        <f t="shared" ref="C124:L124" si="97">C30*10/C100</f>
        <v>921.66671811262916</v>
      </c>
      <c r="D124" s="51">
        <f t="shared" si="97"/>
        <v>952.55118346443726</v>
      </c>
      <c r="E124" s="129">
        <f t="shared" si="97"/>
        <v>605.33307412649071</v>
      </c>
      <c r="F124" s="129">
        <f t="shared" si="97"/>
        <v>799.77636820964108</v>
      </c>
      <c r="G124" s="129">
        <f t="shared" si="97"/>
        <v>726.90937915184429</v>
      </c>
      <c r="H124" s="51">
        <f t="shared" si="97"/>
        <v>808.28022624691459</v>
      </c>
      <c r="I124" s="51" t="e">
        <f t="shared" si="97"/>
        <v>#DIV/0!</v>
      </c>
      <c r="J124" s="51">
        <f t="shared" si="97"/>
        <v>750.33418054010292</v>
      </c>
      <c r="K124" s="51">
        <f t="shared" si="97"/>
        <v>484.21883393433893</v>
      </c>
      <c r="L124" s="51">
        <f t="shared" si="97"/>
        <v>833.70713979890695</v>
      </c>
      <c r="N124" s="55"/>
    </row>
    <row r="125" spans="1:14" x14ac:dyDescent="0.2">
      <c r="B125" s="38" t="s">
        <v>125</v>
      </c>
      <c r="C125" s="51">
        <f>+C121-C124</f>
        <v>-270.1078030578883</v>
      </c>
      <c r="D125" s="51">
        <f t="shared" ref="D125:L125" si="98">+D121-D124</f>
        <v>-254.95516637830099</v>
      </c>
      <c r="E125" s="129">
        <f t="shared" si="98"/>
        <v>-41.560412042154098</v>
      </c>
      <c r="F125" s="129">
        <f t="shared" si="98"/>
        <v>-170.41686338172428</v>
      </c>
      <c r="G125" s="129">
        <f t="shared" si="98"/>
        <v>-28.329173832339507</v>
      </c>
      <c r="H125" s="51">
        <f t="shared" si="98"/>
        <v>-3.5385319030814344</v>
      </c>
      <c r="I125" s="51" t="e">
        <f t="shared" si="98"/>
        <v>#DIV/0!</v>
      </c>
      <c r="J125" s="51">
        <f t="shared" si="98"/>
        <v>472.46931503257213</v>
      </c>
      <c r="K125" s="51">
        <f t="shared" si="98"/>
        <v>-72.266864027942518</v>
      </c>
      <c r="L125" s="51">
        <f t="shared" si="98"/>
        <v>-33.918999119404702</v>
      </c>
    </row>
    <row r="126" spans="1:14" ht="32" x14ac:dyDescent="0.2">
      <c r="B126" s="44" t="s">
        <v>126</v>
      </c>
      <c r="C126" s="51">
        <f t="shared" ref="C126:L126" si="99">(C30-C22-C25)*10/C100</f>
        <v>786.00175630231593</v>
      </c>
      <c r="D126" s="51">
        <f t="shared" si="99"/>
        <v>627.30351886375649</v>
      </c>
      <c r="E126" s="129">
        <f t="shared" si="99"/>
        <v>605.33307412649071</v>
      </c>
      <c r="F126" s="129">
        <f t="shared" si="99"/>
        <v>644.30824994552256</v>
      </c>
      <c r="G126" s="129">
        <f t="shared" si="99"/>
        <v>582.32747499716334</v>
      </c>
      <c r="H126" s="51">
        <f t="shared" si="99"/>
        <v>648.16018332072815</v>
      </c>
      <c r="I126" s="51" t="e">
        <f t="shared" si="99"/>
        <v>#DIV/0!</v>
      </c>
      <c r="J126" s="51">
        <f t="shared" si="99"/>
        <v>750.33418054010292</v>
      </c>
      <c r="K126" s="51">
        <f t="shared" si="99"/>
        <v>427.47263014580039</v>
      </c>
      <c r="L126" s="51">
        <f t="shared" si="99"/>
        <v>660.90926845175409</v>
      </c>
      <c r="N126" s="56"/>
    </row>
    <row r="127" spans="1:14" ht="32" x14ac:dyDescent="0.2">
      <c r="B127" s="44" t="s">
        <v>127</v>
      </c>
      <c r="C127" s="51">
        <f>+C121-C126</f>
        <v>-134.44284124757507</v>
      </c>
      <c r="D127" s="51">
        <f t="shared" ref="D127:J127" si="100">+D121-D126</f>
        <v>70.292498222379777</v>
      </c>
      <c r="E127" s="129">
        <f t="shared" si="100"/>
        <v>-41.560412042154098</v>
      </c>
      <c r="F127" s="129">
        <f t="shared" si="100"/>
        <v>-14.948745117605768</v>
      </c>
      <c r="G127" s="129">
        <f t="shared" si="100"/>
        <v>116.25273032234145</v>
      </c>
      <c r="H127" s="51">
        <f t="shared" si="100"/>
        <v>156.58151102310501</v>
      </c>
      <c r="I127" s="51" t="e">
        <f t="shared" si="100"/>
        <v>#DIV/0!</v>
      </c>
      <c r="J127" s="51">
        <f t="shared" si="100"/>
        <v>472.46931503257213</v>
      </c>
      <c r="K127" s="51">
        <f>+K121-K126</f>
        <v>-15.520660239403981</v>
      </c>
      <c r="L127" s="51">
        <f>+L121-L126</f>
        <v>138.87887222774816</v>
      </c>
    </row>
    <row r="128" spans="1:14" x14ac:dyDescent="0.2">
      <c r="B128" s="38" t="s">
        <v>128</v>
      </c>
      <c r="C128" s="42">
        <f>91*C61/SUM(C13)</f>
        <v>110.71384152900859</v>
      </c>
      <c r="D128" s="42">
        <f>91*D61/SUM(D13)</f>
        <v>146.83610638795699</v>
      </c>
      <c r="E128" s="107">
        <f>183*E61/SUM((C13,E13))</f>
        <v>118.05628523485777</v>
      </c>
      <c r="F128" s="107">
        <f>183*F61/SUM((D13,F13))</f>
        <v>144.56215117949148</v>
      </c>
      <c r="G128" s="107">
        <f>275*G61/SUM(C13,E13,G13)</f>
        <v>126.45081683575673</v>
      </c>
      <c r="H128" s="42">
        <f>275*H61/SUM(D13,F13,H13)</f>
        <v>162.94445101031155</v>
      </c>
      <c r="I128" s="42">
        <f>365*I61/SUM(C13,E13,G13,I13)</f>
        <v>0</v>
      </c>
      <c r="J128" s="42">
        <f>365*J61/SUM(D13,F13,H13,J13)</f>
        <v>163.35770674995166</v>
      </c>
      <c r="K128"/>
      <c r="L128"/>
    </row>
    <row r="129" spans="1:15" x14ac:dyDescent="0.2">
      <c r="B129" s="38" t="s">
        <v>129</v>
      </c>
      <c r="C129" s="42">
        <f>91*C81/SUM(C36)</f>
        <v>210.14384094583573</v>
      </c>
      <c r="D129" s="42">
        <f>91*D81/SUM(D36)</f>
        <v>206.90428896373845</v>
      </c>
      <c r="E129" s="107">
        <f>183*E81/SUM(C36,E36)</f>
        <v>205.9710851911843</v>
      </c>
      <c r="F129" s="107">
        <f>183*F81/SUM(D36,F36)</f>
        <v>242.89919005880645</v>
      </c>
      <c r="G129" s="107">
        <f>275*G81/SUM(C36,E36,G36)</f>
        <v>200.19331682692149</v>
      </c>
      <c r="H129" s="42">
        <f>275*H81/SUM(D36,F36,H36)</f>
        <v>210.22483810437782</v>
      </c>
      <c r="I129" s="42">
        <f>365*I81/SUM(C36,E36,G36,I36)</f>
        <v>0</v>
      </c>
      <c r="J129" s="42">
        <f>365*J81/SUM(D36,F36,H36,J36)</f>
        <v>220.49482440878691</v>
      </c>
      <c r="K129"/>
      <c r="L129"/>
    </row>
    <row r="130" spans="1:15" x14ac:dyDescent="0.2">
      <c r="B130" s="38" t="s">
        <v>130</v>
      </c>
      <c r="C130" s="42">
        <f>C78+C81+C82</f>
        <v>236852.17091350001</v>
      </c>
      <c r="D130" s="42">
        <f t="shared" ref="D130:L130" si="101">D78+D81+D82</f>
        <v>247866.42573000002</v>
      </c>
      <c r="E130" s="107">
        <f t="shared" si="101"/>
        <v>232753.68000000005</v>
      </c>
      <c r="F130" s="107">
        <f t="shared" si="101"/>
        <v>256292.07076259999</v>
      </c>
      <c r="G130" s="107">
        <f t="shared" si="101"/>
        <v>236355.14</v>
      </c>
      <c r="H130" s="42">
        <f t="shared" si="101"/>
        <v>249029.1768399</v>
      </c>
      <c r="I130" s="42">
        <f t="shared" si="101"/>
        <v>0</v>
      </c>
      <c r="J130" s="42">
        <f t="shared" si="101"/>
        <v>264609.64876800001</v>
      </c>
      <c r="K130" s="42">
        <f t="shared" si="101"/>
        <v>0</v>
      </c>
      <c r="L130" s="42">
        <f t="shared" si="101"/>
        <v>0</v>
      </c>
    </row>
    <row r="132" spans="1:15" x14ac:dyDescent="0.2">
      <c r="A132" s="52"/>
      <c r="B132" s="52"/>
    </row>
    <row r="133" spans="1:15" x14ac:dyDescent="0.2">
      <c r="B133" s="13" t="s">
        <v>131</v>
      </c>
      <c r="C133" s="184" t="s">
        <v>13</v>
      </c>
      <c r="D133" s="189"/>
      <c r="E133" s="184" t="s">
        <v>14</v>
      </c>
      <c r="F133" s="189"/>
      <c r="G133" s="184" t="s">
        <v>15</v>
      </c>
      <c r="H133" s="189"/>
      <c r="I133" s="184" t="s">
        <v>16</v>
      </c>
      <c r="J133" s="189"/>
      <c r="K133" s="186" t="s">
        <v>17</v>
      </c>
      <c r="L133" s="187"/>
    </row>
    <row r="134" spans="1:15" ht="16" x14ac:dyDescent="0.2">
      <c r="B134" s="13"/>
      <c r="C134" s="15" t="str">
        <f t="shared" ref="C134" si="102">$B$5</f>
        <v>2025-26</v>
      </c>
      <c r="D134" s="15" t="str">
        <f t="shared" ref="D134" si="103">$B$6</f>
        <v>2024-25</v>
      </c>
      <c r="E134" s="120" t="str">
        <f t="shared" ref="E134" si="104">$B$5</f>
        <v>2025-26</v>
      </c>
      <c r="F134" s="15" t="str">
        <f t="shared" ref="F134" si="105">$B$6</f>
        <v>2024-25</v>
      </c>
      <c r="G134" s="120" t="str">
        <f t="shared" ref="G134" si="106">$B$5</f>
        <v>2025-26</v>
      </c>
      <c r="H134" s="15" t="str">
        <f t="shared" ref="H134" si="107">$B$6</f>
        <v>2024-25</v>
      </c>
      <c r="I134" s="15" t="str">
        <f t="shared" ref="I134" si="108">$B$5</f>
        <v>2025-26</v>
      </c>
      <c r="J134" s="15" t="str">
        <f t="shared" ref="J134" si="109">$B$6</f>
        <v>2024-25</v>
      </c>
      <c r="K134" s="15" t="str">
        <f t="shared" ref="K134" si="110">$B$5</f>
        <v>2025-26</v>
      </c>
      <c r="L134" s="15" t="str">
        <f t="shared" ref="L134" si="111">$B$6</f>
        <v>2024-25</v>
      </c>
    </row>
    <row r="135" spans="1:15" x14ac:dyDescent="0.2">
      <c r="A135" s="102"/>
      <c r="B135" s="22" t="s">
        <v>132</v>
      </c>
      <c r="C135" s="48">
        <v>121.16473369182465</v>
      </c>
      <c r="D135" s="48">
        <v>122.89419790975816</v>
      </c>
      <c r="E135" s="128">
        <v>124.49581361223231</v>
      </c>
      <c r="F135" s="128">
        <v>122.0506982139426</v>
      </c>
      <c r="G135" s="128">
        <v>124.4880234536104</v>
      </c>
      <c r="H135" s="128">
        <v>128.88467398289345</v>
      </c>
      <c r="I135" s="152"/>
      <c r="J135" s="152">
        <v>142.45849695808565</v>
      </c>
      <c r="K135" s="57">
        <f>C135+E135+G135+I135</f>
        <v>370.14857075766736</v>
      </c>
      <c r="L135" s="89">
        <f>D135+F135+H135+J135</f>
        <v>516.28806706467981</v>
      </c>
    </row>
    <row r="136" spans="1:15" x14ac:dyDescent="0.2">
      <c r="A136" s="102"/>
      <c r="B136" s="22" t="s">
        <v>133</v>
      </c>
      <c r="C136" s="48">
        <v>35.837470988415674</v>
      </c>
      <c r="D136" s="48">
        <v>34.724079531493089</v>
      </c>
      <c r="E136" s="128">
        <v>38.784774410912597</v>
      </c>
      <c r="F136" s="128">
        <v>35.526385603616461</v>
      </c>
      <c r="G136" s="128">
        <v>39.153110058235413</v>
      </c>
      <c r="H136" s="128">
        <v>36.4216376107127</v>
      </c>
      <c r="I136" s="152"/>
      <c r="J136" s="152">
        <v>40.20614450938475</v>
      </c>
      <c r="K136" s="57">
        <f t="shared" ref="K136:L139" si="112">C136+E136+G136+I136</f>
        <v>113.77535545756369</v>
      </c>
      <c r="L136" s="89">
        <f t="shared" si="112"/>
        <v>146.87824725520701</v>
      </c>
    </row>
    <row r="137" spans="1:15" x14ac:dyDescent="0.2">
      <c r="A137" s="102"/>
      <c r="B137" s="22" t="s">
        <v>134</v>
      </c>
      <c r="C137" s="48">
        <v>2.2190543333333333E-2</v>
      </c>
      <c r="D137" s="48">
        <v>2.1906001285714287E-2</v>
      </c>
      <c r="E137" s="128">
        <v>3.7988969999999997E-2</v>
      </c>
      <c r="F137" s="128">
        <v>2.1610331999999999E-2</v>
      </c>
      <c r="G137" s="128">
        <v>3.528009666666667E-2</v>
      </c>
      <c r="H137" s="128">
        <v>1.746723E-2</v>
      </c>
      <c r="I137" s="152"/>
      <c r="J137" s="152">
        <v>0.16737082</v>
      </c>
      <c r="K137" s="57">
        <f t="shared" si="112"/>
        <v>9.545961E-2</v>
      </c>
      <c r="L137" s="89">
        <f t="shared" si="112"/>
        <v>0.22835438328571428</v>
      </c>
      <c r="O137" s="58"/>
    </row>
    <row r="138" spans="1:15" x14ac:dyDescent="0.2">
      <c r="A138" s="102"/>
      <c r="B138" s="22" t="s">
        <v>135</v>
      </c>
      <c r="C138" s="48">
        <v>141.24154757427146</v>
      </c>
      <c r="D138" s="48">
        <v>128.49168957375235</v>
      </c>
      <c r="E138" s="128">
        <v>174.76581417316478</v>
      </c>
      <c r="F138" s="128">
        <v>142.42289457305583</v>
      </c>
      <c r="G138" s="128">
        <v>156.27808302796561</v>
      </c>
      <c r="H138" s="128">
        <v>83.520048868791449</v>
      </c>
      <c r="I138" s="152"/>
      <c r="J138" s="152">
        <v>84.946616365618226</v>
      </c>
      <c r="K138" s="57">
        <f t="shared" si="112"/>
        <v>472.28544477540186</v>
      </c>
      <c r="L138" s="89">
        <f t="shared" si="112"/>
        <v>439.38124938121786</v>
      </c>
      <c r="O138" s="59"/>
    </row>
    <row r="139" spans="1:15" x14ac:dyDescent="0.2">
      <c r="A139" s="102"/>
      <c r="B139" s="22" t="s">
        <v>136</v>
      </c>
      <c r="C139" s="162">
        <v>16.544483835678733</v>
      </c>
      <c r="D139" s="48">
        <v>15.699973086956312</v>
      </c>
      <c r="E139" s="128">
        <v>17.230720648908722</v>
      </c>
      <c r="F139" s="128">
        <v>16.502522274820283</v>
      </c>
      <c r="G139" s="128">
        <v>18.454066186723445</v>
      </c>
      <c r="H139" s="128">
        <v>15.169978674977077</v>
      </c>
      <c r="I139" s="152"/>
      <c r="J139" s="152">
        <v>18.334555199191133</v>
      </c>
      <c r="K139" s="57">
        <f t="shared" si="112"/>
        <v>52.2292706713109</v>
      </c>
      <c r="L139" s="89">
        <f t="shared" si="112"/>
        <v>65.707029235944802</v>
      </c>
      <c r="O139" s="59"/>
    </row>
    <row r="140" spans="1:15" x14ac:dyDescent="0.2">
      <c r="B140" s="22" t="s">
        <v>137</v>
      </c>
      <c r="C140" s="57">
        <f>+C141+C142+C143+C144+C145</f>
        <v>359.021422497</v>
      </c>
      <c r="D140" s="57">
        <f>+D141+D142+D143+D144+D145</f>
        <v>339.19576833709624</v>
      </c>
      <c r="E140" s="57">
        <f t="shared" ref="E140:L140" si="113">+E141+E142+E143+E144+E145</f>
        <v>420.97896789666669</v>
      </c>
      <c r="F140" s="57">
        <f t="shared" si="113"/>
        <v>434.78747621269952</v>
      </c>
      <c r="G140" s="57">
        <f>+G141+G142+G143+G144+G145</f>
        <v>160.26389157666668</v>
      </c>
      <c r="H140" s="57">
        <f t="shared" si="113"/>
        <v>181.29837149277986</v>
      </c>
      <c r="I140" s="57">
        <f t="shared" si="113"/>
        <v>0</v>
      </c>
      <c r="J140" s="57">
        <f t="shared" si="113"/>
        <v>69.816104620000004</v>
      </c>
      <c r="K140" s="57">
        <f t="shared" si="113"/>
        <v>940.2642819703334</v>
      </c>
      <c r="L140" s="89">
        <f t="shared" si="113"/>
        <v>1025.0977206625755</v>
      </c>
      <c r="O140" s="59"/>
    </row>
    <row r="141" spans="1:15" x14ac:dyDescent="0.2">
      <c r="B141" s="19" t="s">
        <v>138</v>
      </c>
      <c r="C141" s="48">
        <v>0</v>
      </c>
      <c r="D141" s="48"/>
      <c r="E141" s="128">
        <v>0</v>
      </c>
      <c r="F141" s="128"/>
      <c r="G141" s="128"/>
      <c r="H141" s="128"/>
      <c r="I141" s="48"/>
      <c r="J141" s="48"/>
      <c r="K141" s="57">
        <f t="shared" ref="K141:L145" si="114">C141+E141+G141+I141</f>
        <v>0</v>
      </c>
      <c r="L141" s="89">
        <f t="shared" si="114"/>
        <v>0</v>
      </c>
      <c r="O141" s="59"/>
    </row>
    <row r="142" spans="1:15" x14ac:dyDescent="0.2">
      <c r="A142" s="102"/>
      <c r="B142" s="19" t="s">
        <v>139</v>
      </c>
      <c r="C142" s="101">
        <v>16.580572496999999</v>
      </c>
      <c r="D142" s="101">
        <v>17.705210289</v>
      </c>
      <c r="E142" s="128">
        <v>19.93115723</v>
      </c>
      <c r="F142" s="128">
        <v>16.863089539000004</v>
      </c>
      <c r="G142" s="128">
        <v>24.771477910000005</v>
      </c>
      <c r="H142" s="128">
        <v>21.232147560000001</v>
      </c>
      <c r="I142" s="152"/>
      <c r="J142" s="152">
        <v>24.813773319999996</v>
      </c>
      <c r="K142" s="57">
        <f t="shared" si="114"/>
        <v>61.283207637000004</v>
      </c>
      <c r="L142" s="89">
        <f t="shared" si="114"/>
        <v>80.614220708000005</v>
      </c>
      <c r="O142" s="59"/>
    </row>
    <row r="143" spans="1:15" x14ac:dyDescent="0.2">
      <c r="A143" s="102"/>
      <c r="B143" s="19" t="s">
        <v>140</v>
      </c>
      <c r="C143" s="101">
        <v>5.3850000000000002E-2</v>
      </c>
      <c r="D143" s="101">
        <v>4.3984000000000002E-2</v>
      </c>
      <c r="E143" s="128">
        <v>5.781066666666667E-2</v>
      </c>
      <c r="F143" s="128">
        <v>4.0205999999999999E-2</v>
      </c>
      <c r="G143" s="128">
        <v>4.6940666666666665E-2</v>
      </c>
      <c r="H143" s="128">
        <v>3.3850000000000005E-2</v>
      </c>
      <c r="I143" s="152"/>
      <c r="J143" s="152">
        <v>4.2331300000000002E-2</v>
      </c>
      <c r="K143" s="57">
        <f t="shared" si="114"/>
        <v>0.15860133333333334</v>
      </c>
      <c r="L143" s="89">
        <f t="shared" si="114"/>
        <v>0.16037129999999999</v>
      </c>
      <c r="O143" s="60"/>
    </row>
    <row r="144" spans="1:15" x14ac:dyDescent="0.2">
      <c r="A144" s="102"/>
      <c r="B144" s="19" t="s">
        <v>141</v>
      </c>
      <c r="C144" s="128">
        <v>39.116999999999997</v>
      </c>
      <c r="D144" s="101">
        <v>20.803455950096229</v>
      </c>
      <c r="E144" s="128">
        <v>44.356000000000002</v>
      </c>
      <c r="F144" s="128">
        <v>17.674180673699549</v>
      </c>
      <c r="G144" s="128">
        <v>4.8324730000000002</v>
      </c>
      <c r="H144" s="128">
        <v>16.920299326779872</v>
      </c>
      <c r="I144" s="101"/>
      <c r="J144" s="101">
        <v>44.96</v>
      </c>
      <c r="K144" s="57">
        <f t="shared" si="114"/>
        <v>88.305473000000006</v>
      </c>
      <c r="L144" s="89">
        <f t="shared" si="114"/>
        <v>100.35793595057564</v>
      </c>
      <c r="O144" s="61"/>
    </row>
    <row r="145" spans="2:15" s="195" customFormat="1" x14ac:dyDescent="0.2">
      <c r="B145" s="191" t="s">
        <v>142</v>
      </c>
      <c r="C145" s="163">
        <v>303.27</v>
      </c>
      <c r="D145" s="101">
        <v>300.643118098</v>
      </c>
      <c r="E145" s="160">
        <v>356.63400000000001</v>
      </c>
      <c r="F145" s="163">
        <v>400.21</v>
      </c>
      <c r="G145" s="192">
        <v>130.613</v>
      </c>
      <c r="H145" s="192">
        <v>143.11207460599999</v>
      </c>
      <c r="I145" s="193"/>
      <c r="J145" s="193"/>
      <c r="K145" s="194">
        <f t="shared" si="114"/>
        <v>790.51700000000005</v>
      </c>
      <c r="L145" s="194">
        <f t="shared" si="114"/>
        <v>843.96519270399995</v>
      </c>
    </row>
    <row r="146" spans="2:15" s="52" customFormat="1" x14ac:dyDescent="0.2">
      <c r="B146" s="38" t="s">
        <v>143</v>
      </c>
      <c r="C146" s="42">
        <f>+C135+C136+C137+C138+C139+C140</f>
        <v>673.83184913052389</v>
      </c>
      <c r="D146" s="42">
        <f>+D135+D136+D137+D138+D139+D140</f>
        <v>641.02761444034195</v>
      </c>
      <c r="E146" s="42">
        <f t="shared" ref="E146:L146" si="115">+E135+E136+E137+E138+E139+E140</f>
        <v>776.29407971188516</v>
      </c>
      <c r="F146" s="42">
        <f t="shared" si="115"/>
        <v>751.31158721013469</v>
      </c>
      <c r="G146" s="105">
        <f t="shared" si="115"/>
        <v>498.67245439986823</v>
      </c>
      <c r="H146" s="105">
        <f t="shared" si="115"/>
        <v>445.31217786015452</v>
      </c>
      <c r="I146" s="42">
        <f t="shared" si="115"/>
        <v>0</v>
      </c>
      <c r="J146" s="42">
        <f t="shared" si="115"/>
        <v>355.92928847227972</v>
      </c>
      <c r="K146" s="42">
        <f t="shared" si="115"/>
        <v>1948.7983832422772</v>
      </c>
      <c r="L146" s="51">
        <f t="shared" si="115"/>
        <v>2193.5806679829111</v>
      </c>
      <c r="M146" s="143"/>
      <c r="N146" s="62"/>
      <c r="O146" s="62"/>
    </row>
    <row r="147" spans="2:15" s="52" customFormat="1" x14ac:dyDescent="0.2">
      <c r="C147"/>
      <c r="D147" s="63"/>
      <c r="E147" s="130"/>
      <c r="F147" s="63"/>
      <c r="G147" s="130"/>
      <c r="H147" s="63"/>
      <c r="I147" s="63"/>
      <c r="J147" s="63"/>
      <c r="K147" s="63"/>
      <c r="L147" s="63"/>
      <c r="N147" s="62"/>
      <c r="O147" s="62"/>
    </row>
    <row r="148" spans="2:15" s="52" customFormat="1" ht="26" x14ac:dyDescent="0.2">
      <c r="C148" s="63"/>
      <c r="D148" s="63"/>
      <c r="E148" s="130"/>
      <c r="F148" s="63"/>
      <c r="G148" s="130"/>
      <c r="H148" s="188" t="s">
        <v>194</v>
      </c>
      <c r="I148" s="188"/>
      <c r="J148" s="188"/>
      <c r="K148" s="188"/>
      <c r="L148" s="188"/>
      <c r="N148" s="62"/>
      <c r="O148" s="62"/>
    </row>
    <row r="149" spans="2:15" s="52" customFormat="1" x14ac:dyDescent="0.2">
      <c r="B149" s="13" t="s">
        <v>144</v>
      </c>
      <c r="C149" s="184" t="s">
        <v>13</v>
      </c>
      <c r="D149" s="189"/>
      <c r="E149" s="184" t="s">
        <v>14</v>
      </c>
      <c r="F149" s="189"/>
      <c r="G149" s="184" t="s">
        <v>15</v>
      </c>
      <c r="H149" s="189"/>
      <c r="I149" s="184" t="s">
        <v>16</v>
      </c>
      <c r="J149" s="189"/>
      <c r="K149" s="186" t="s">
        <v>17</v>
      </c>
      <c r="L149" s="187"/>
      <c r="N149" s="62"/>
      <c r="O149" s="62"/>
    </row>
    <row r="150" spans="2:15" s="52" customFormat="1" ht="16" x14ac:dyDescent="0.2">
      <c r="B150" s="13"/>
      <c r="C150" s="15" t="str">
        <f t="shared" ref="C150" si="116">$B$5</f>
        <v>2025-26</v>
      </c>
      <c r="D150" s="15" t="str">
        <f t="shared" ref="D150" si="117">$B$6</f>
        <v>2024-25</v>
      </c>
      <c r="E150" s="15" t="str">
        <f t="shared" ref="E150" si="118">$B$5</f>
        <v>2025-26</v>
      </c>
      <c r="F150" s="15" t="str">
        <f t="shared" ref="F150" si="119">$B$6</f>
        <v>2024-25</v>
      </c>
      <c r="G150" s="15" t="str">
        <f t="shared" ref="G150" si="120">$B$5</f>
        <v>2025-26</v>
      </c>
      <c r="H150" s="15" t="str">
        <f t="shared" ref="H150" si="121">$B$6</f>
        <v>2024-25</v>
      </c>
      <c r="I150" s="15" t="str">
        <f t="shared" ref="I150" si="122">$B$5</f>
        <v>2025-26</v>
      </c>
      <c r="J150" s="15" t="str">
        <f t="shared" ref="J150" si="123">$B$6</f>
        <v>2024-25</v>
      </c>
      <c r="K150" s="15" t="str">
        <f t="shared" ref="K150" si="124">$B$5</f>
        <v>2025-26</v>
      </c>
      <c r="L150" s="15" t="str">
        <f t="shared" ref="L150" si="125">$B$6</f>
        <v>2024-25</v>
      </c>
      <c r="N150" s="62"/>
      <c r="O150" s="62"/>
    </row>
    <row r="151" spans="2:15" s="52" customFormat="1" x14ac:dyDescent="0.2">
      <c r="B151" s="22" t="s">
        <v>132</v>
      </c>
      <c r="C151" s="145">
        <v>89.59</v>
      </c>
      <c r="D151" s="145">
        <f>8150.38/100</f>
        <v>81.503799999999998</v>
      </c>
      <c r="E151" s="145">
        <v>75.595608994000017</v>
      </c>
      <c r="F151" s="88">
        <v>72.337406252999997</v>
      </c>
      <c r="G151" s="88">
        <v>60.359538358999998</v>
      </c>
      <c r="H151" s="88">
        <v>89.102840942</v>
      </c>
      <c r="I151" s="146"/>
      <c r="J151" s="146">
        <v>98.420311555000012</v>
      </c>
      <c r="K151" s="57">
        <f>C151+E151+G151+I151</f>
        <v>225.545147353</v>
      </c>
      <c r="L151" s="57">
        <f>D151+F151+H151+J151</f>
        <v>341.36435875000001</v>
      </c>
      <c r="N151" s="62">
        <v>100</v>
      </c>
      <c r="O151" s="62"/>
    </row>
    <row r="152" spans="2:15" s="52" customFormat="1" x14ac:dyDescent="0.2">
      <c r="B152" s="22" t="s">
        <v>133</v>
      </c>
      <c r="C152" s="145">
        <v>41.56</v>
      </c>
      <c r="D152" s="145">
        <v>34.619999999999997</v>
      </c>
      <c r="E152" s="145">
        <v>37.197860251000002</v>
      </c>
      <c r="F152" s="88">
        <v>39.021881064999995</v>
      </c>
      <c r="G152" s="88">
        <v>35.051890454000002</v>
      </c>
      <c r="H152" s="88">
        <v>32.306609245000004</v>
      </c>
      <c r="I152" s="146"/>
      <c r="J152" s="146">
        <v>43.759322402000009</v>
      </c>
      <c r="K152" s="57">
        <f t="shared" ref="K152:L155" si="126">C152+E152+G152+I152</f>
        <v>113.80975070500001</v>
      </c>
      <c r="L152" s="57">
        <f t="shared" si="126"/>
        <v>149.70781271200002</v>
      </c>
      <c r="N152" s="62"/>
      <c r="O152" s="62"/>
    </row>
    <row r="153" spans="2:15" s="52" customFormat="1" x14ac:dyDescent="0.2">
      <c r="B153" s="22" t="s">
        <v>134</v>
      </c>
      <c r="C153" s="145">
        <f>1.51/100</f>
        <v>1.5100000000000001E-2</v>
      </c>
      <c r="D153" s="145">
        <f>1.4542763/100</f>
        <v>1.4542763E-2</v>
      </c>
      <c r="E153" s="145">
        <v>1.2699999999999999E-2</v>
      </c>
      <c r="F153" s="88">
        <v>1.2924063999999999E-2</v>
      </c>
      <c r="G153" s="88">
        <v>9.9277936999999983E-2</v>
      </c>
      <c r="H153" s="88">
        <v>1.3674590000000002E-2</v>
      </c>
      <c r="I153" s="146"/>
      <c r="J153" s="146">
        <v>1.2550098000000001E-2</v>
      </c>
      <c r="K153" s="57">
        <f t="shared" si="126"/>
        <v>0.12707793699999997</v>
      </c>
      <c r="L153" s="57">
        <f t="shared" si="126"/>
        <v>5.3691515000000002E-2</v>
      </c>
      <c r="N153" s="62"/>
      <c r="O153" s="62"/>
    </row>
    <row r="154" spans="2:15" s="52" customFormat="1" x14ac:dyDescent="0.2">
      <c r="B154" s="22" t="s">
        <v>135</v>
      </c>
      <c r="C154" s="145">
        <v>118.87</v>
      </c>
      <c r="D154" s="145">
        <f>8916.54/100</f>
        <v>89.165400000000005</v>
      </c>
      <c r="E154" s="145">
        <v>128.70699999999999</v>
      </c>
      <c r="F154" s="88">
        <v>128.05290000000002</v>
      </c>
      <c r="G154" s="88">
        <v>117.68819999999999</v>
      </c>
      <c r="H154" s="88">
        <f>(4657.93)/100</f>
        <v>46.579300000000003</v>
      </c>
      <c r="I154" s="146"/>
      <c r="J154" s="146">
        <v>56.380299999999998</v>
      </c>
      <c r="K154" s="57">
        <f t="shared" si="126"/>
        <v>365.26519999999999</v>
      </c>
      <c r="L154" s="57">
        <f t="shared" si="126"/>
        <v>320.17790000000002</v>
      </c>
      <c r="N154" s="62"/>
      <c r="O154" s="62"/>
    </row>
    <row r="155" spans="2:15" s="52" customFormat="1" x14ac:dyDescent="0.2">
      <c r="B155" s="22" t="s">
        <v>136</v>
      </c>
      <c r="C155" s="145">
        <f>1764.37/100</f>
        <v>17.643699999999999</v>
      </c>
      <c r="D155" s="145">
        <f>1250.12/100</f>
        <v>12.501199999999999</v>
      </c>
      <c r="E155" s="145">
        <v>13.3818</v>
      </c>
      <c r="F155" s="88">
        <v>10.651041194999999</v>
      </c>
      <c r="G155" s="88">
        <v>19.233499999999999</v>
      </c>
      <c r="H155" s="88">
        <f>(1344.2+20.79)/100</f>
        <v>13.649900000000001</v>
      </c>
      <c r="I155" s="146"/>
      <c r="J155" s="146">
        <v>12.970799999999999</v>
      </c>
      <c r="K155" s="57">
        <f t="shared" si="126"/>
        <v>50.259</v>
      </c>
      <c r="L155" s="57">
        <f t="shared" si="126"/>
        <v>49.772941194999994</v>
      </c>
      <c r="N155" s="62"/>
      <c r="O155" s="62"/>
    </row>
    <row r="156" spans="2:15" s="52" customFormat="1" x14ac:dyDescent="0.2">
      <c r="B156" s="22" t="s">
        <v>137</v>
      </c>
      <c r="C156" s="89">
        <f>+C157+C158+C159+C160+C161</f>
        <v>264.12</v>
      </c>
      <c r="D156" s="89">
        <f>+D157+D158+D159+D160+D161</f>
        <v>211.21839913699998</v>
      </c>
      <c r="E156" s="89">
        <f t="shared" ref="E156:L156" si="127">+E157+E158+E159+E160+E161</f>
        <v>226.66552401199999</v>
      </c>
      <c r="F156" s="89">
        <f t="shared" si="127"/>
        <v>242.97946898600003</v>
      </c>
      <c r="G156" s="89">
        <f>+G157+G158++G159+G160+G161</f>
        <v>129.345892053</v>
      </c>
      <c r="H156" s="89">
        <f>+H157+H158++H159+H160+H161</f>
        <v>157.28319999999999</v>
      </c>
      <c r="I156" s="57">
        <f t="shared" si="127"/>
        <v>0</v>
      </c>
      <c r="J156" s="57">
        <f t="shared" si="127"/>
        <v>112.89263898999999</v>
      </c>
      <c r="K156" s="57">
        <f t="shared" si="127"/>
        <v>620.13141606500005</v>
      </c>
      <c r="L156" s="57">
        <f t="shared" si="127"/>
        <v>724.37370711300002</v>
      </c>
      <c r="N156" s="62"/>
      <c r="O156" s="62"/>
    </row>
    <row r="157" spans="2:15" s="52" customFormat="1" x14ac:dyDescent="0.2">
      <c r="B157" s="19" t="s">
        <v>138</v>
      </c>
      <c r="C157" s="48">
        <v>0</v>
      </c>
      <c r="D157" s="48"/>
      <c r="E157" s="163">
        <v>0</v>
      </c>
      <c r="F157" s="88"/>
      <c r="G157" s="88"/>
      <c r="H157" s="88"/>
      <c r="I157" s="48"/>
      <c r="J157" s="48"/>
      <c r="K157" s="57">
        <f t="shared" ref="K157:L161" si="128">C157+E157+G157+I157</f>
        <v>0</v>
      </c>
      <c r="L157" s="57">
        <f t="shared" si="128"/>
        <v>0</v>
      </c>
      <c r="N157" s="62"/>
      <c r="O157" s="62"/>
    </row>
    <row r="158" spans="2:15" s="52" customFormat="1" x14ac:dyDescent="0.2">
      <c r="B158" s="19" t="s">
        <v>139</v>
      </c>
      <c r="C158" s="88">
        <v>22.87</v>
      </c>
      <c r="D158" s="88">
        <f>1835.9751633/100</f>
        <v>18.359751633000002</v>
      </c>
      <c r="E158" s="88">
        <v>19.249793162999996</v>
      </c>
      <c r="F158" s="88">
        <v>13.463788861000001</v>
      </c>
      <c r="G158" s="165">
        <v>26.825064019999999</v>
      </c>
      <c r="H158" s="88">
        <v>21.633699999999997</v>
      </c>
      <c r="I158" s="146"/>
      <c r="J158" s="146">
        <v>18.061585525999998</v>
      </c>
      <c r="K158" s="57">
        <f t="shared" si="128"/>
        <v>68.944857182999996</v>
      </c>
      <c r="L158" s="57">
        <f t="shared" si="128"/>
        <v>71.518826020000006</v>
      </c>
      <c r="N158" s="62"/>
      <c r="O158" s="62"/>
    </row>
    <row r="159" spans="2:15" s="52" customFormat="1" x14ac:dyDescent="0.2">
      <c r="B159" s="19" t="s">
        <v>140</v>
      </c>
      <c r="C159" s="88">
        <v>2.91</v>
      </c>
      <c r="D159" s="88">
        <f>84.25/100</f>
        <v>0.84250000000000003</v>
      </c>
      <c r="E159" s="88">
        <v>2.2480000000000002</v>
      </c>
      <c r="F159" s="88">
        <v>2.4317454229999997</v>
      </c>
      <c r="G159" s="165">
        <f>(105.2827819+768.73)/100</f>
        <v>8.7401278190000014</v>
      </c>
      <c r="H159" s="88">
        <v>1.8506</v>
      </c>
      <c r="I159" s="146"/>
      <c r="J159" s="146">
        <v>0.87979448399999993</v>
      </c>
      <c r="K159" s="57">
        <f>C159+E159+G159+I159</f>
        <v>13.898127819000003</v>
      </c>
      <c r="L159" s="57">
        <f t="shared" si="128"/>
        <v>6.0046399069999996</v>
      </c>
      <c r="N159" s="62"/>
      <c r="O159" s="62"/>
    </row>
    <row r="160" spans="2:15" s="52" customFormat="1" x14ac:dyDescent="0.2">
      <c r="B160" s="19" t="s">
        <v>141</v>
      </c>
      <c r="C160" s="88">
        <v>10.26</v>
      </c>
      <c r="D160" s="88">
        <f>1033.4247504/100</f>
        <v>10.334247504</v>
      </c>
      <c r="E160" s="88">
        <v>17.009330849000001</v>
      </c>
      <c r="F160" s="88">
        <v>8.1417347020000008</v>
      </c>
      <c r="G160" s="165">
        <v>2.2512002140000003</v>
      </c>
      <c r="H160" s="88">
        <v>14.2727</v>
      </c>
      <c r="I160" s="146"/>
      <c r="J160" s="146">
        <v>14.30225898</v>
      </c>
      <c r="K160" s="57">
        <f>C160+E160+G160+I160</f>
        <v>29.520531063</v>
      </c>
      <c r="L160" s="57">
        <f t="shared" si="128"/>
        <v>47.050941185999996</v>
      </c>
      <c r="N160" s="62"/>
      <c r="O160" s="62"/>
    </row>
    <row r="161" spans="2:32" s="52" customFormat="1" x14ac:dyDescent="0.2">
      <c r="B161" s="19" t="s">
        <v>142</v>
      </c>
      <c r="C161" s="88">
        <v>228.08</v>
      </c>
      <c r="D161" s="88">
        <f>18168.19/100</f>
        <v>181.68189999999998</v>
      </c>
      <c r="E161" s="88">
        <v>188.1584</v>
      </c>
      <c r="F161" s="88">
        <v>218.94220000000001</v>
      </c>
      <c r="G161" s="165">
        <f>(9152.95)/100</f>
        <v>91.529500000000013</v>
      </c>
      <c r="H161" s="88">
        <v>119.5262</v>
      </c>
      <c r="I161" s="146"/>
      <c r="J161" s="146">
        <v>79.649000000000001</v>
      </c>
      <c r="K161" s="57">
        <f t="shared" si="128"/>
        <v>507.76790000000005</v>
      </c>
      <c r="L161" s="57">
        <f t="shared" si="128"/>
        <v>599.79930000000002</v>
      </c>
      <c r="N161" s="62"/>
      <c r="O161" s="62"/>
    </row>
    <row r="162" spans="2:32" s="52" customFormat="1" x14ac:dyDescent="0.2">
      <c r="B162" s="38" t="s">
        <v>143</v>
      </c>
      <c r="C162" s="144">
        <f>SUM(C151:C155)+C156</f>
        <v>531.79880000000003</v>
      </c>
      <c r="D162" s="144">
        <f>SUM(D151:D155)+D156</f>
        <v>429.02334189999999</v>
      </c>
      <c r="E162" s="51">
        <f t="shared" ref="E162:L162" si="129">+E151+E152+E153+E154+E155+E156</f>
        <v>481.56049325699996</v>
      </c>
      <c r="F162" s="51">
        <f t="shared" si="129"/>
        <v>493.05562156300005</v>
      </c>
      <c r="G162" s="51">
        <f t="shared" si="129"/>
        <v>361.77829880299998</v>
      </c>
      <c r="H162" s="51">
        <f t="shared" si="129"/>
        <v>338.93552477699996</v>
      </c>
      <c r="I162" s="51">
        <f>+I151+I152+I153+I154+I155+I156</f>
        <v>0</v>
      </c>
      <c r="J162" s="51">
        <f>+J151+J152+J153+J154+J155+J156</f>
        <v>324.43592304499998</v>
      </c>
      <c r="K162" s="42">
        <f t="shared" si="129"/>
        <v>1375.1375920600001</v>
      </c>
      <c r="L162" s="42">
        <f t="shared" si="129"/>
        <v>1585.4504112850002</v>
      </c>
      <c r="N162" s="62"/>
      <c r="O162" s="62"/>
    </row>
    <row r="163" spans="2:32" s="52" customFormat="1" x14ac:dyDescent="0.2">
      <c r="C163" s="63"/>
      <c r="D163" s="63"/>
      <c r="E163" s="130"/>
      <c r="F163" s="63"/>
      <c r="G163" s="130"/>
      <c r="H163" s="63"/>
      <c r="I163" s="63"/>
      <c r="J163" s="63"/>
      <c r="K163" s="63"/>
      <c r="L163" s="63"/>
      <c r="N163" s="62"/>
      <c r="O163" s="62"/>
    </row>
    <row r="164" spans="2:32" s="52" customFormat="1" ht="28.5" customHeight="1" x14ac:dyDescent="0.2">
      <c r="B164" s="171"/>
      <c r="C164" s="171"/>
      <c r="D164" s="171"/>
      <c r="E164" s="171"/>
      <c r="F164" s="171"/>
      <c r="G164" s="171"/>
      <c r="H164" s="171"/>
      <c r="I164" s="171"/>
      <c r="J164" s="171"/>
      <c r="K164" s="171"/>
      <c r="L164" s="171"/>
      <c r="N164" s="62"/>
      <c r="O164" s="62"/>
    </row>
    <row r="165" spans="2:32" s="52" customFormat="1" ht="22.5" customHeight="1" x14ac:dyDescent="0.2">
      <c r="C165" s="63"/>
      <c r="D165" s="63"/>
      <c r="E165" s="130"/>
      <c r="F165" s="63"/>
      <c r="G165" s="130"/>
      <c r="H165" s="63"/>
      <c r="I165" s="63"/>
      <c r="J165" s="63"/>
      <c r="K165" s="63"/>
      <c r="L165" s="63"/>
      <c r="N165" s="62"/>
      <c r="O165" s="62"/>
    </row>
    <row r="166" spans="2:32" s="52" customFormat="1" ht="24.75" customHeight="1" x14ac:dyDescent="0.2">
      <c r="C166" s="63"/>
      <c r="D166" s="63"/>
      <c r="E166" s="130"/>
      <c r="F166" s="63"/>
      <c r="G166" s="130"/>
      <c r="H166" s="63"/>
      <c r="I166" s="63"/>
      <c r="J166" s="63"/>
      <c r="K166" s="63"/>
      <c r="L166" s="63"/>
      <c r="N166" s="62"/>
      <c r="O166" s="62"/>
    </row>
    <row r="167" spans="2:32" s="52" customFormat="1" x14ac:dyDescent="0.2">
      <c r="C167" s="63"/>
      <c r="D167" s="63"/>
      <c r="E167" s="130"/>
      <c r="F167" s="63"/>
      <c r="G167" s="130"/>
      <c r="H167" s="63"/>
      <c r="I167" s="63"/>
      <c r="J167" s="63"/>
      <c r="K167" s="63"/>
      <c r="L167" s="63"/>
      <c r="N167" s="62"/>
      <c r="O167" s="62"/>
    </row>
    <row r="168" spans="2:32" x14ac:dyDescent="0.2">
      <c r="N168" s="64"/>
      <c r="O168" s="64"/>
    </row>
    <row r="169" spans="2:32" ht="16" x14ac:dyDescent="0.2">
      <c r="B169" s="65" t="s">
        <v>146</v>
      </c>
      <c r="C169" s="181" t="s">
        <v>13</v>
      </c>
      <c r="D169" s="182"/>
      <c r="E169" s="182"/>
      <c r="F169" s="182"/>
      <c r="G169" s="182"/>
      <c r="H169" s="183"/>
      <c r="I169" s="181" t="s">
        <v>14</v>
      </c>
      <c r="J169" s="182"/>
      <c r="K169" s="182"/>
      <c r="L169" s="182"/>
      <c r="M169" s="182"/>
      <c r="N169" s="183"/>
      <c r="O169" s="181" t="s">
        <v>15</v>
      </c>
      <c r="P169" s="182"/>
      <c r="Q169" s="182"/>
      <c r="R169" s="182"/>
      <c r="S169" s="182"/>
      <c r="T169" s="183"/>
      <c r="U169" s="181" t="s">
        <v>16</v>
      </c>
      <c r="V169" s="182"/>
      <c r="W169" s="182"/>
      <c r="X169" s="182"/>
      <c r="Y169" s="182"/>
      <c r="Z169" s="183"/>
      <c r="AA169" s="181" t="s">
        <v>17</v>
      </c>
      <c r="AB169" s="182"/>
      <c r="AC169" s="182"/>
      <c r="AD169" s="182"/>
      <c r="AE169" s="182"/>
      <c r="AF169" s="183"/>
    </row>
    <row r="170" spans="2:32" x14ac:dyDescent="0.2">
      <c r="B170" s="65"/>
      <c r="C170" s="181" t="str">
        <f>$B$5</f>
        <v>2025-26</v>
      </c>
      <c r="D170" s="182"/>
      <c r="E170" s="183"/>
      <c r="F170" s="181" t="str">
        <f>$B$6</f>
        <v>2024-25</v>
      </c>
      <c r="G170" s="182"/>
      <c r="H170" s="183"/>
      <c r="I170" s="181" t="str">
        <f>$B$5</f>
        <v>2025-26</v>
      </c>
      <c r="J170" s="182"/>
      <c r="K170" s="183"/>
      <c r="L170" s="181" t="str">
        <f>$B$6</f>
        <v>2024-25</v>
      </c>
      <c r="M170" s="182"/>
      <c r="N170" s="183"/>
      <c r="O170" s="181" t="str">
        <f>$B$5</f>
        <v>2025-26</v>
      </c>
      <c r="P170" s="182"/>
      <c r="Q170" s="183"/>
      <c r="R170" s="181" t="str">
        <f>$B$6</f>
        <v>2024-25</v>
      </c>
      <c r="S170" s="182"/>
      <c r="T170" s="183"/>
      <c r="U170" s="181" t="str">
        <f>$B$5</f>
        <v>2025-26</v>
      </c>
      <c r="V170" s="182"/>
      <c r="W170" s="183"/>
      <c r="X170" s="181" t="str">
        <f>$B$6</f>
        <v>2024-25</v>
      </c>
      <c r="Y170" s="182"/>
      <c r="Z170" s="183"/>
      <c r="AA170" s="181" t="str">
        <f>$B$5</f>
        <v>2025-26</v>
      </c>
      <c r="AB170" s="182"/>
      <c r="AC170" s="183"/>
      <c r="AD170" s="181" t="str">
        <f>$B$6</f>
        <v>2024-25</v>
      </c>
      <c r="AE170" s="182"/>
      <c r="AF170" s="183"/>
    </row>
    <row r="171" spans="2:32" s="72" customFormat="1" ht="64.5" customHeight="1" x14ac:dyDescent="0.2">
      <c r="B171" s="108"/>
      <c r="C171" s="109" t="s">
        <v>147</v>
      </c>
      <c r="D171" s="109" t="s">
        <v>148</v>
      </c>
      <c r="E171" s="131" t="s">
        <v>149</v>
      </c>
      <c r="F171" s="109" t="s">
        <v>147</v>
      </c>
      <c r="G171" s="131" t="s">
        <v>148</v>
      </c>
      <c r="H171" s="109" t="s">
        <v>149</v>
      </c>
      <c r="I171" s="109" t="s">
        <v>147</v>
      </c>
      <c r="J171" s="109" t="s">
        <v>148</v>
      </c>
      <c r="K171" s="109" t="s">
        <v>149</v>
      </c>
      <c r="L171" s="110" t="s">
        <v>147</v>
      </c>
      <c r="M171" s="110" t="s">
        <v>148</v>
      </c>
      <c r="N171" s="110" t="s">
        <v>149</v>
      </c>
      <c r="O171" s="109" t="s">
        <v>147</v>
      </c>
      <c r="P171" s="109" t="s">
        <v>148</v>
      </c>
      <c r="Q171" s="109" t="s">
        <v>149</v>
      </c>
      <c r="R171" s="110" t="s">
        <v>147</v>
      </c>
      <c r="S171" s="110" t="s">
        <v>148</v>
      </c>
      <c r="T171" s="110" t="s">
        <v>149</v>
      </c>
      <c r="U171" s="109" t="s">
        <v>147</v>
      </c>
      <c r="V171" s="109" t="s">
        <v>148</v>
      </c>
      <c r="W171" s="109" t="s">
        <v>149</v>
      </c>
      <c r="X171" s="110" t="s">
        <v>147</v>
      </c>
      <c r="Y171" s="110" t="s">
        <v>148</v>
      </c>
      <c r="Z171" s="110" t="s">
        <v>149</v>
      </c>
      <c r="AA171" s="109" t="s">
        <v>147</v>
      </c>
      <c r="AB171" s="109" t="s">
        <v>148</v>
      </c>
      <c r="AC171" s="109" t="s">
        <v>149</v>
      </c>
      <c r="AD171" s="110" t="s">
        <v>147</v>
      </c>
      <c r="AE171" s="110" t="s">
        <v>148</v>
      </c>
      <c r="AF171" s="110" t="s">
        <v>149</v>
      </c>
    </row>
    <row r="172" spans="2:32" s="72" customFormat="1" x14ac:dyDescent="0.2">
      <c r="B172" s="111" t="s">
        <v>150</v>
      </c>
      <c r="C172" s="112">
        <f>C151</f>
        <v>89.59</v>
      </c>
      <c r="D172" s="113"/>
      <c r="E172" s="132"/>
      <c r="F172" s="112">
        <f>D151</f>
        <v>81.503799999999998</v>
      </c>
      <c r="G172" s="132"/>
      <c r="H172" s="113"/>
      <c r="I172" s="112">
        <f>E151</f>
        <v>75.595608994000017</v>
      </c>
      <c r="J172" s="113"/>
      <c r="K172" s="113"/>
      <c r="L172" s="112">
        <f>F151</f>
        <v>72.337406252999997</v>
      </c>
      <c r="M172" s="113"/>
      <c r="N172" s="113"/>
      <c r="O172" s="150">
        <f>G151</f>
        <v>60.359538358999998</v>
      </c>
      <c r="P172" s="113"/>
      <c r="Q172" s="113"/>
      <c r="R172" s="112">
        <f>H151</f>
        <v>89.102840942</v>
      </c>
      <c r="S172" s="113"/>
      <c r="T172" s="113"/>
      <c r="U172" s="113"/>
      <c r="V172" s="113"/>
      <c r="W172" s="113"/>
      <c r="X172" s="112">
        <f>J151</f>
        <v>98.420311555000012</v>
      </c>
      <c r="Y172" s="113"/>
      <c r="Z172" s="113"/>
      <c r="AA172" s="114">
        <f>C172+I172++O172+U172</f>
        <v>225.545147353</v>
      </c>
      <c r="AB172" s="114">
        <f t="shared" ref="AB172:AD176" si="130">D172+J172++P172+V172</f>
        <v>0</v>
      </c>
      <c r="AC172" s="114">
        <f t="shared" si="130"/>
        <v>0</v>
      </c>
      <c r="AD172" s="114">
        <f>F172+L172++R172+X172</f>
        <v>341.36435875000001</v>
      </c>
      <c r="AE172" s="114">
        <f t="shared" ref="AE172:AF176" si="131">G172+M172++S172+Y172</f>
        <v>0</v>
      </c>
      <c r="AF172" s="114">
        <f t="shared" si="131"/>
        <v>0</v>
      </c>
    </row>
    <row r="173" spans="2:32" s="72" customFormat="1" x14ac:dyDescent="0.2">
      <c r="B173" s="111" t="s">
        <v>151</v>
      </c>
      <c r="C173" s="112">
        <f>C152</f>
        <v>41.56</v>
      </c>
      <c r="D173" s="113"/>
      <c r="E173" s="132"/>
      <c r="F173" s="112">
        <f t="shared" ref="F173:F176" si="132">D152</f>
        <v>34.619999999999997</v>
      </c>
      <c r="G173" s="132"/>
      <c r="H173" s="113"/>
      <c r="I173" s="112">
        <f>E152</f>
        <v>37.197860251000002</v>
      </c>
      <c r="J173" s="113"/>
      <c r="K173" s="113"/>
      <c r="L173" s="112">
        <f t="shared" ref="L173:L177" si="133">F152</f>
        <v>39.021881064999995</v>
      </c>
      <c r="M173" s="113"/>
      <c r="N173" s="113"/>
      <c r="O173" s="150">
        <f t="shared" ref="O173:O182" si="134">G152</f>
        <v>35.051890454000002</v>
      </c>
      <c r="P173" s="113"/>
      <c r="Q173" s="113"/>
      <c r="R173" s="112">
        <f t="shared" ref="R173:R182" si="135">H152</f>
        <v>32.306609245000004</v>
      </c>
      <c r="S173" s="113"/>
      <c r="T173" s="113"/>
      <c r="U173" s="113"/>
      <c r="V173" s="113"/>
      <c r="W173" s="113"/>
      <c r="X173" s="112">
        <f t="shared" ref="X173:X182" si="136">J152</f>
        <v>43.759322402000009</v>
      </c>
      <c r="Y173" s="113"/>
      <c r="Z173" s="113"/>
      <c r="AA173" s="114">
        <f t="shared" ref="AA173:AA176" si="137">C173+I173++O173+U173</f>
        <v>113.80975070500001</v>
      </c>
      <c r="AB173" s="114">
        <f t="shared" si="130"/>
        <v>0</v>
      </c>
      <c r="AC173" s="114">
        <f t="shared" si="130"/>
        <v>0</v>
      </c>
      <c r="AD173" s="114">
        <f t="shared" si="130"/>
        <v>149.70781271200002</v>
      </c>
      <c r="AE173" s="114">
        <f t="shared" si="131"/>
        <v>0</v>
      </c>
      <c r="AF173" s="114">
        <f t="shared" si="131"/>
        <v>0</v>
      </c>
    </row>
    <row r="174" spans="2:32" s="72" customFormat="1" x14ac:dyDescent="0.2">
      <c r="B174" s="111" t="s">
        <v>152</v>
      </c>
      <c r="C174" s="112">
        <f>C153</f>
        <v>1.5100000000000001E-2</v>
      </c>
      <c r="D174" s="113"/>
      <c r="E174" s="132"/>
      <c r="F174" s="112">
        <f t="shared" si="132"/>
        <v>1.4542763E-2</v>
      </c>
      <c r="G174" s="132"/>
      <c r="H174" s="113"/>
      <c r="I174" s="112">
        <f>E153</f>
        <v>1.2699999999999999E-2</v>
      </c>
      <c r="J174" s="113"/>
      <c r="K174" s="113"/>
      <c r="L174" s="112">
        <f t="shared" si="133"/>
        <v>1.2924063999999999E-2</v>
      </c>
      <c r="M174" s="113"/>
      <c r="N174" s="113"/>
      <c r="O174" s="150">
        <f t="shared" si="134"/>
        <v>9.9277936999999983E-2</v>
      </c>
      <c r="P174" s="113"/>
      <c r="Q174" s="113"/>
      <c r="R174" s="112">
        <f t="shared" si="135"/>
        <v>1.3674590000000002E-2</v>
      </c>
      <c r="S174" s="113"/>
      <c r="T174" s="113"/>
      <c r="U174" s="113"/>
      <c r="V174" s="113"/>
      <c r="W174" s="113"/>
      <c r="X174" s="112">
        <f t="shared" si="136"/>
        <v>1.2550098000000001E-2</v>
      </c>
      <c r="Y174" s="113"/>
      <c r="Z174" s="113"/>
      <c r="AA174" s="114">
        <f t="shared" si="137"/>
        <v>0.12707793699999997</v>
      </c>
      <c r="AB174" s="114">
        <f t="shared" si="130"/>
        <v>0</v>
      </c>
      <c r="AC174" s="114">
        <f t="shared" si="130"/>
        <v>0</v>
      </c>
      <c r="AD174" s="114">
        <f t="shared" si="130"/>
        <v>5.3691515000000002E-2</v>
      </c>
      <c r="AE174" s="114">
        <f t="shared" si="131"/>
        <v>0</v>
      </c>
      <c r="AF174" s="114">
        <f t="shared" si="131"/>
        <v>0</v>
      </c>
    </row>
    <row r="175" spans="2:32" s="72" customFormat="1" x14ac:dyDescent="0.2">
      <c r="B175" s="111" t="s">
        <v>153</v>
      </c>
      <c r="C175" s="112">
        <f>C154</f>
        <v>118.87</v>
      </c>
      <c r="D175" s="113"/>
      <c r="E175" s="132"/>
      <c r="F175" s="112">
        <f t="shared" si="132"/>
        <v>89.165400000000005</v>
      </c>
      <c r="G175" s="132"/>
      <c r="H175" s="113"/>
      <c r="I175" s="112">
        <f>E154</f>
        <v>128.70699999999999</v>
      </c>
      <c r="J175" s="113"/>
      <c r="K175" s="113"/>
      <c r="L175" s="112">
        <f t="shared" si="133"/>
        <v>128.05290000000002</v>
      </c>
      <c r="M175" s="113"/>
      <c r="N175" s="113"/>
      <c r="O175" s="150">
        <f t="shared" si="134"/>
        <v>117.68819999999999</v>
      </c>
      <c r="P175" s="113"/>
      <c r="Q175" s="113"/>
      <c r="R175" s="112">
        <f t="shared" si="135"/>
        <v>46.579300000000003</v>
      </c>
      <c r="S175" s="113"/>
      <c r="T175" s="113"/>
      <c r="U175" s="113"/>
      <c r="V175" s="113"/>
      <c r="W175" s="113"/>
      <c r="X175" s="112">
        <f t="shared" si="136"/>
        <v>56.380299999999998</v>
      </c>
      <c r="Y175" s="113"/>
      <c r="Z175" s="113"/>
      <c r="AA175" s="114">
        <f t="shared" si="137"/>
        <v>365.26519999999999</v>
      </c>
      <c r="AB175" s="114">
        <f t="shared" si="130"/>
        <v>0</v>
      </c>
      <c r="AC175" s="114">
        <f t="shared" si="130"/>
        <v>0</v>
      </c>
      <c r="AD175" s="114">
        <f t="shared" si="130"/>
        <v>320.17790000000002</v>
      </c>
      <c r="AE175" s="114">
        <f t="shared" si="131"/>
        <v>0</v>
      </c>
      <c r="AF175" s="114">
        <f t="shared" si="131"/>
        <v>0</v>
      </c>
    </row>
    <row r="176" spans="2:32" s="72" customFormat="1" x14ac:dyDescent="0.2">
      <c r="B176" s="111" t="s">
        <v>154</v>
      </c>
      <c r="C176" s="112">
        <f>C155</f>
        <v>17.643699999999999</v>
      </c>
      <c r="D176" s="113"/>
      <c r="E176" s="132"/>
      <c r="F176" s="112">
        <f t="shared" si="132"/>
        <v>12.501199999999999</v>
      </c>
      <c r="G176" s="132"/>
      <c r="H176" s="113"/>
      <c r="I176" s="112">
        <f>E155</f>
        <v>13.3818</v>
      </c>
      <c r="J176" s="113"/>
      <c r="K176" s="113"/>
      <c r="L176" s="112">
        <f t="shared" si="133"/>
        <v>10.651041194999999</v>
      </c>
      <c r="M176" s="113"/>
      <c r="N176" s="113"/>
      <c r="O176" s="150">
        <f t="shared" si="134"/>
        <v>19.233499999999999</v>
      </c>
      <c r="P176" s="113"/>
      <c r="Q176" s="113"/>
      <c r="R176" s="112">
        <f t="shared" si="135"/>
        <v>13.649900000000001</v>
      </c>
      <c r="S176" s="113"/>
      <c r="T176" s="113"/>
      <c r="U176" s="113"/>
      <c r="V176" s="113"/>
      <c r="W176" s="113"/>
      <c r="X176" s="112">
        <f t="shared" si="136"/>
        <v>12.970799999999999</v>
      </c>
      <c r="Y176" s="113"/>
      <c r="Z176" s="113"/>
      <c r="AA176" s="114">
        <f t="shared" si="137"/>
        <v>50.259</v>
      </c>
      <c r="AB176" s="114">
        <f t="shared" si="130"/>
        <v>0</v>
      </c>
      <c r="AC176" s="114">
        <f t="shared" si="130"/>
        <v>0</v>
      </c>
      <c r="AD176" s="114">
        <f t="shared" si="130"/>
        <v>49.772941194999994</v>
      </c>
      <c r="AE176" s="114">
        <f t="shared" si="131"/>
        <v>0</v>
      </c>
      <c r="AF176" s="114">
        <f t="shared" si="131"/>
        <v>0</v>
      </c>
    </row>
    <row r="177" spans="2:32" s="72" customFormat="1" x14ac:dyDescent="0.2">
      <c r="B177" s="111" t="s">
        <v>155</v>
      </c>
      <c r="C177" s="114">
        <f>+C178+C179++C180+C181+C182</f>
        <v>264.12</v>
      </c>
      <c r="D177" s="114">
        <f t="shared" ref="D177:AF177" si="138">+D178+D179++D180+D181+D182</f>
        <v>0</v>
      </c>
      <c r="E177" s="133">
        <f t="shared" si="138"/>
        <v>0</v>
      </c>
      <c r="F177" s="147">
        <f>+F178+F179++F180+F181+F182</f>
        <v>211.21839913699998</v>
      </c>
      <c r="G177" s="133">
        <f t="shared" si="138"/>
        <v>0</v>
      </c>
      <c r="H177" s="114">
        <f t="shared" si="138"/>
        <v>0</v>
      </c>
      <c r="I177" s="147">
        <f>SUM(I179:I182)</f>
        <v>226.66552401199999</v>
      </c>
      <c r="J177" s="114">
        <f t="shared" si="138"/>
        <v>0</v>
      </c>
      <c r="K177" s="114">
        <f t="shared" si="138"/>
        <v>0</v>
      </c>
      <c r="L177" s="112">
        <f t="shared" si="133"/>
        <v>242.97946898600003</v>
      </c>
      <c r="M177" s="114">
        <f t="shared" si="138"/>
        <v>0</v>
      </c>
      <c r="N177" s="114">
        <f t="shared" si="138"/>
        <v>0</v>
      </c>
      <c r="O177" s="150">
        <f t="shared" si="134"/>
        <v>129.345892053</v>
      </c>
      <c r="P177" s="114">
        <f t="shared" si="138"/>
        <v>0</v>
      </c>
      <c r="Q177" s="114">
        <f t="shared" si="138"/>
        <v>0</v>
      </c>
      <c r="R177" s="112">
        <f t="shared" si="135"/>
        <v>157.28319999999999</v>
      </c>
      <c r="S177" s="114">
        <f t="shared" si="138"/>
        <v>0</v>
      </c>
      <c r="T177" s="114">
        <f t="shared" si="138"/>
        <v>0</v>
      </c>
      <c r="U177" s="114">
        <f t="shared" si="138"/>
        <v>0</v>
      </c>
      <c r="V177" s="114">
        <f t="shared" si="138"/>
        <v>0</v>
      </c>
      <c r="W177" s="114">
        <f t="shared" si="138"/>
        <v>0</v>
      </c>
      <c r="X177" s="112">
        <f t="shared" si="136"/>
        <v>112.89263898999999</v>
      </c>
      <c r="Y177" s="114">
        <f t="shared" si="138"/>
        <v>0</v>
      </c>
      <c r="Z177" s="114">
        <f t="shared" si="138"/>
        <v>0</v>
      </c>
      <c r="AA177" s="114">
        <f t="shared" si="138"/>
        <v>1101.6919093219999</v>
      </c>
      <c r="AB177" s="114">
        <f t="shared" si="138"/>
        <v>0</v>
      </c>
      <c r="AC177" s="114">
        <f t="shared" si="138"/>
        <v>0</v>
      </c>
      <c r="AD177" s="114">
        <f t="shared" si="138"/>
        <v>724.37370711300002</v>
      </c>
      <c r="AE177" s="114">
        <f t="shared" si="138"/>
        <v>0</v>
      </c>
      <c r="AF177" s="114">
        <f t="shared" si="138"/>
        <v>0</v>
      </c>
    </row>
    <row r="178" spans="2:32" s="72" customFormat="1" x14ac:dyDescent="0.2">
      <c r="B178" s="115" t="s">
        <v>138</v>
      </c>
      <c r="C178" s="113">
        <v>0</v>
      </c>
      <c r="D178" s="113"/>
      <c r="E178" s="132"/>
      <c r="F178" s="113"/>
      <c r="G178" s="132"/>
      <c r="H178" s="113"/>
      <c r="I178" s="161"/>
      <c r="J178" s="113"/>
      <c r="K178" s="113"/>
      <c r="L178" s="113"/>
      <c r="M178" s="113"/>
      <c r="N178" s="113"/>
      <c r="O178" s="150">
        <f t="shared" si="134"/>
        <v>0</v>
      </c>
      <c r="P178" s="113"/>
      <c r="Q178" s="113"/>
      <c r="R178" s="112">
        <f t="shared" si="135"/>
        <v>0</v>
      </c>
      <c r="S178" s="113"/>
      <c r="T178" s="113"/>
      <c r="U178" s="113"/>
      <c r="V178" s="113"/>
      <c r="W178" s="113"/>
      <c r="X178" s="112">
        <f t="shared" si="136"/>
        <v>0</v>
      </c>
      <c r="Y178" s="113"/>
      <c r="Z178" s="113"/>
      <c r="AA178" s="114">
        <f>C178+I179++O178+U178</f>
        <v>19.249793162999996</v>
      </c>
      <c r="AB178" s="114">
        <f t="shared" ref="AB178:AF182" si="139">D178+J178++P178+V178</f>
        <v>0</v>
      </c>
      <c r="AC178" s="114">
        <f t="shared" si="139"/>
        <v>0</v>
      </c>
      <c r="AD178" s="114">
        <f t="shared" si="139"/>
        <v>0</v>
      </c>
      <c r="AE178" s="114">
        <f t="shared" si="139"/>
        <v>0</v>
      </c>
      <c r="AF178" s="114">
        <f t="shared" si="139"/>
        <v>0</v>
      </c>
    </row>
    <row r="179" spans="2:32" s="72" customFormat="1" x14ac:dyDescent="0.2">
      <c r="B179" s="115" t="s">
        <v>139</v>
      </c>
      <c r="C179" s="112">
        <f>C158</f>
        <v>22.87</v>
      </c>
      <c r="D179" s="113"/>
      <c r="E179" s="132"/>
      <c r="F179" s="112">
        <f>D158</f>
        <v>18.359751633000002</v>
      </c>
      <c r="G179" s="132"/>
      <c r="H179" s="113"/>
      <c r="I179" s="112">
        <f>E158</f>
        <v>19.249793162999996</v>
      </c>
      <c r="J179" s="113"/>
      <c r="K179" s="113"/>
      <c r="L179" s="112">
        <f>F158</f>
        <v>13.463788861000001</v>
      </c>
      <c r="M179" s="113"/>
      <c r="N179" s="113"/>
      <c r="O179" s="150">
        <f t="shared" si="134"/>
        <v>26.825064019999999</v>
      </c>
      <c r="P179" s="113"/>
      <c r="Q179" s="113"/>
      <c r="R179" s="112">
        <f t="shared" si="135"/>
        <v>21.633699999999997</v>
      </c>
      <c r="S179" s="113"/>
      <c r="T179" s="113"/>
      <c r="U179" s="113"/>
      <c r="V179" s="113"/>
      <c r="W179" s="113"/>
      <c r="X179" s="112">
        <f t="shared" si="136"/>
        <v>18.061585525999998</v>
      </c>
      <c r="Y179" s="113"/>
      <c r="Z179" s="113"/>
      <c r="AA179" s="114">
        <f>C179+I180++O179+U179</f>
        <v>51.943064020000001</v>
      </c>
      <c r="AB179" s="114">
        <f t="shared" si="139"/>
        <v>0</v>
      </c>
      <c r="AC179" s="114">
        <f t="shared" si="139"/>
        <v>0</v>
      </c>
      <c r="AD179" s="114">
        <f t="shared" si="139"/>
        <v>71.518826020000006</v>
      </c>
      <c r="AE179" s="114">
        <f t="shared" si="139"/>
        <v>0</v>
      </c>
      <c r="AF179" s="114">
        <f t="shared" si="139"/>
        <v>0</v>
      </c>
    </row>
    <row r="180" spans="2:32" s="72" customFormat="1" x14ac:dyDescent="0.2">
      <c r="B180" s="115" t="s">
        <v>140</v>
      </c>
      <c r="C180" s="112">
        <f>C159</f>
        <v>2.91</v>
      </c>
      <c r="D180" s="113"/>
      <c r="E180" s="132"/>
      <c r="F180" s="112">
        <f t="shared" ref="F180:F182" si="140">D159</f>
        <v>0.84250000000000003</v>
      </c>
      <c r="G180" s="132"/>
      <c r="H180" s="113"/>
      <c r="I180" s="112">
        <f>E159</f>
        <v>2.2480000000000002</v>
      </c>
      <c r="J180" s="113"/>
      <c r="K180" s="113"/>
      <c r="L180" s="112">
        <f t="shared" ref="L180:L182" si="141">F159</f>
        <v>2.4317454229999997</v>
      </c>
      <c r="M180" s="113"/>
      <c r="N180" s="113"/>
      <c r="O180" s="150">
        <f t="shared" si="134"/>
        <v>8.7401278190000014</v>
      </c>
      <c r="P180" s="113"/>
      <c r="Q180" s="113"/>
      <c r="R180" s="112">
        <f t="shared" si="135"/>
        <v>1.8506</v>
      </c>
      <c r="S180" s="113"/>
      <c r="T180" s="113"/>
      <c r="U180" s="113"/>
      <c r="V180" s="113"/>
      <c r="W180" s="113"/>
      <c r="X180" s="112">
        <f t="shared" si="136"/>
        <v>0.87979448399999993</v>
      </c>
      <c r="Y180" s="113"/>
      <c r="Z180" s="113"/>
      <c r="AA180" s="114">
        <f>C180+I181++O180+U180</f>
        <v>28.659458668000003</v>
      </c>
      <c r="AB180" s="114">
        <f t="shared" si="139"/>
        <v>0</v>
      </c>
      <c r="AC180" s="114">
        <f t="shared" si="139"/>
        <v>0</v>
      </c>
      <c r="AD180" s="114">
        <f t="shared" si="139"/>
        <v>6.0046399069999996</v>
      </c>
      <c r="AE180" s="114">
        <f t="shared" si="139"/>
        <v>0</v>
      </c>
      <c r="AF180" s="114">
        <f t="shared" si="139"/>
        <v>0</v>
      </c>
    </row>
    <row r="181" spans="2:32" s="72" customFormat="1" x14ac:dyDescent="0.2">
      <c r="B181" s="115" t="s">
        <v>141</v>
      </c>
      <c r="C181" s="112">
        <f>C160</f>
        <v>10.26</v>
      </c>
      <c r="D181" s="113"/>
      <c r="E181" s="132"/>
      <c r="F181" s="112">
        <f t="shared" si="140"/>
        <v>10.334247504</v>
      </c>
      <c r="G181" s="132"/>
      <c r="H181" s="113"/>
      <c r="I181" s="112">
        <f>E160</f>
        <v>17.009330849000001</v>
      </c>
      <c r="J181" s="113"/>
      <c r="K181" s="113"/>
      <c r="L181" s="112">
        <f t="shared" si="141"/>
        <v>8.1417347020000008</v>
      </c>
      <c r="M181" s="113"/>
      <c r="N181" s="113"/>
      <c r="O181" s="150">
        <f t="shared" si="134"/>
        <v>2.2512002140000003</v>
      </c>
      <c r="P181" s="113"/>
      <c r="Q181" s="113"/>
      <c r="R181" s="112">
        <f t="shared" si="135"/>
        <v>14.2727</v>
      </c>
      <c r="S181" s="113"/>
      <c r="T181" s="113"/>
      <c r="U181" s="113"/>
      <c r="V181" s="113"/>
      <c r="W181" s="113"/>
      <c r="X181" s="112">
        <f t="shared" si="136"/>
        <v>14.30225898</v>
      </c>
      <c r="Y181" s="113"/>
      <c r="Z181" s="113"/>
      <c r="AA181" s="114">
        <f>C181+I182++O181+U181</f>
        <v>200.66960021399998</v>
      </c>
      <c r="AB181" s="114">
        <f t="shared" si="139"/>
        <v>0</v>
      </c>
      <c r="AC181" s="114">
        <f t="shared" si="139"/>
        <v>0</v>
      </c>
      <c r="AD181" s="114">
        <f t="shared" si="139"/>
        <v>47.050941185999996</v>
      </c>
      <c r="AE181" s="114">
        <f t="shared" si="139"/>
        <v>0</v>
      </c>
      <c r="AF181" s="114">
        <f t="shared" si="139"/>
        <v>0</v>
      </c>
    </row>
    <row r="182" spans="2:32" s="72" customFormat="1" x14ac:dyDescent="0.2">
      <c r="B182" s="115" t="s">
        <v>142</v>
      </c>
      <c r="C182" s="112">
        <f>C161</f>
        <v>228.08</v>
      </c>
      <c r="D182" s="113"/>
      <c r="E182" s="132"/>
      <c r="F182" s="112">
        <f t="shared" si="140"/>
        <v>181.68189999999998</v>
      </c>
      <c r="G182" s="132"/>
      <c r="H182" s="113"/>
      <c r="I182" s="112">
        <f>E161</f>
        <v>188.1584</v>
      </c>
      <c r="J182" s="113"/>
      <c r="K182" s="113"/>
      <c r="L182" s="112">
        <f t="shared" si="141"/>
        <v>218.94220000000001</v>
      </c>
      <c r="M182" s="113"/>
      <c r="N182" s="113"/>
      <c r="O182" s="150">
        <f t="shared" si="134"/>
        <v>91.529500000000013</v>
      </c>
      <c r="P182" s="113"/>
      <c r="Q182" s="113"/>
      <c r="R182" s="112">
        <f t="shared" si="135"/>
        <v>119.5262</v>
      </c>
      <c r="S182" s="113"/>
      <c r="T182" s="113"/>
      <c r="U182" s="113"/>
      <c r="V182" s="113"/>
      <c r="W182" s="113"/>
      <c r="X182" s="112">
        <f t="shared" si="136"/>
        <v>79.649000000000001</v>
      </c>
      <c r="Y182" s="113"/>
      <c r="Z182" s="113"/>
      <c r="AA182" s="114">
        <f>C182+I183++O182+U182</f>
        <v>801.16999325699999</v>
      </c>
      <c r="AB182" s="114">
        <f t="shared" si="139"/>
        <v>0</v>
      </c>
      <c r="AC182" s="114">
        <f t="shared" si="139"/>
        <v>0</v>
      </c>
      <c r="AD182" s="114">
        <f t="shared" si="139"/>
        <v>599.79930000000002</v>
      </c>
      <c r="AE182" s="114">
        <f t="shared" si="139"/>
        <v>0</v>
      </c>
      <c r="AF182" s="114">
        <f t="shared" si="139"/>
        <v>0</v>
      </c>
    </row>
    <row r="183" spans="2:32" s="118" customFormat="1" x14ac:dyDescent="0.2">
      <c r="B183" s="116" t="s">
        <v>156</v>
      </c>
      <c r="C183" s="148">
        <f t="shared" ref="C183:AF183" si="142">SUM(C172:C177)</f>
        <v>531.79880000000003</v>
      </c>
      <c r="D183" s="117">
        <f t="shared" si="142"/>
        <v>0</v>
      </c>
      <c r="E183" s="134">
        <f t="shared" si="142"/>
        <v>0</v>
      </c>
      <c r="F183" s="148">
        <f t="shared" si="142"/>
        <v>429.02334189999999</v>
      </c>
      <c r="G183" s="134">
        <f t="shared" si="142"/>
        <v>0</v>
      </c>
      <c r="H183" s="117">
        <f t="shared" si="142"/>
        <v>0</v>
      </c>
      <c r="I183" s="148">
        <f t="shared" si="142"/>
        <v>481.56049325699996</v>
      </c>
      <c r="J183" s="117">
        <f t="shared" si="142"/>
        <v>0</v>
      </c>
      <c r="K183" s="117">
        <f t="shared" si="142"/>
        <v>0</v>
      </c>
      <c r="L183" s="148">
        <f>SUM(L172:L177)</f>
        <v>493.05562156300005</v>
      </c>
      <c r="M183" s="117">
        <f t="shared" si="142"/>
        <v>0</v>
      </c>
      <c r="N183" s="117">
        <f t="shared" si="142"/>
        <v>0</v>
      </c>
      <c r="O183" s="151">
        <f t="shared" si="142"/>
        <v>361.77829880299998</v>
      </c>
      <c r="P183" s="117">
        <f t="shared" si="142"/>
        <v>0</v>
      </c>
      <c r="Q183" s="117">
        <f t="shared" si="142"/>
        <v>0</v>
      </c>
      <c r="R183" s="148">
        <f t="shared" si="142"/>
        <v>338.93552477699996</v>
      </c>
      <c r="S183" s="117">
        <f t="shared" si="142"/>
        <v>0</v>
      </c>
      <c r="T183" s="117">
        <f t="shared" si="142"/>
        <v>0</v>
      </c>
      <c r="U183" s="117">
        <f t="shared" si="142"/>
        <v>0</v>
      </c>
      <c r="V183" s="117">
        <f t="shared" si="142"/>
        <v>0</v>
      </c>
      <c r="W183" s="117">
        <f t="shared" si="142"/>
        <v>0</v>
      </c>
      <c r="X183" s="117">
        <f t="shared" si="142"/>
        <v>324.43592304499998</v>
      </c>
      <c r="Y183" s="117">
        <f t="shared" si="142"/>
        <v>0</v>
      </c>
      <c r="Z183" s="117">
        <f t="shared" si="142"/>
        <v>0</v>
      </c>
      <c r="AA183" s="117">
        <f t="shared" si="142"/>
        <v>1856.6980853169998</v>
      </c>
      <c r="AB183" s="117">
        <f t="shared" si="142"/>
        <v>0</v>
      </c>
      <c r="AC183" s="117">
        <f t="shared" si="142"/>
        <v>0</v>
      </c>
      <c r="AD183" s="117">
        <f t="shared" si="142"/>
        <v>1585.4504112850002</v>
      </c>
      <c r="AE183" s="117">
        <f t="shared" si="142"/>
        <v>0</v>
      </c>
      <c r="AF183" s="117">
        <f t="shared" si="142"/>
        <v>0</v>
      </c>
    </row>
    <row r="184" spans="2:32" x14ac:dyDescent="0.2">
      <c r="N184" s="64"/>
      <c r="O184" s="64"/>
    </row>
    <row r="185" spans="2:32" x14ac:dyDescent="0.2">
      <c r="N185" s="64"/>
      <c r="O185" s="64"/>
    </row>
    <row r="186" spans="2:32" ht="16" x14ac:dyDescent="0.2">
      <c r="B186" s="14" t="s">
        <v>157</v>
      </c>
      <c r="C186" s="184" t="s">
        <v>13</v>
      </c>
      <c r="D186" s="185"/>
      <c r="E186" s="184" t="s">
        <v>14</v>
      </c>
      <c r="F186" s="185"/>
      <c r="G186" s="184" t="s">
        <v>15</v>
      </c>
      <c r="H186" s="185"/>
      <c r="I186" s="184" t="s">
        <v>16</v>
      </c>
      <c r="J186" s="185"/>
      <c r="K186" s="186" t="s">
        <v>17</v>
      </c>
      <c r="L186" s="187"/>
    </row>
    <row r="187" spans="2:32" ht="16" x14ac:dyDescent="0.2">
      <c r="B187" s="14"/>
      <c r="C187" s="15" t="str">
        <f t="shared" ref="C187:K187" si="143">$B$5</f>
        <v>2025-26</v>
      </c>
      <c r="D187" s="15" t="str">
        <f t="shared" ref="D187:L187" si="144">$B$6</f>
        <v>2024-25</v>
      </c>
      <c r="E187" s="120" t="str">
        <f t="shared" si="143"/>
        <v>2025-26</v>
      </c>
      <c r="F187" s="15" t="str">
        <f t="shared" si="144"/>
        <v>2024-25</v>
      </c>
      <c r="G187" s="120" t="str">
        <f t="shared" si="143"/>
        <v>2025-26</v>
      </c>
      <c r="H187" s="15" t="str">
        <f t="shared" si="144"/>
        <v>2024-25</v>
      </c>
      <c r="I187" s="15" t="str">
        <f t="shared" si="143"/>
        <v>2025-26</v>
      </c>
      <c r="J187" s="15" t="str">
        <f t="shared" si="144"/>
        <v>2024-25</v>
      </c>
      <c r="K187" s="15" t="str">
        <f t="shared" si="143"/>
        <v>2025-26</v>
      </c>
      <c r="L187" s="15" t="str">
        <f t="shared" si="144"/>
        <v>2024-25</v>
      </c>
    </row>
    <row r="188" spans="2:32" x14ac:dyDescent="0.2">
      <c r="B188" s="14"/>
      <c r="C188" s="66" t="s">
        <v>158</v>
      </c>
      <c r="D188" s="66" t="s">
        <v>158</v>
      </c>
      <c r="E188" s="135" t="s">
        <v>158</v>
      </c>
      <c r="F188" s="66" t="s">
        <v>158</v>
      </c>
      <c r="G188" s="135" t="s">
        <v>158</v>
      </c>
      <c r="H188" s="66" t="s">
        <v>158</v>
      </c>
      <c r="I188" s="66" t="s">
        <v>158</v>
      </c>
      <c r="J188" s="66" t="s">
        <v>158</v>
      </c>
      <c r="K188" s="66" t="s">
        <v>158</v>
      </c>
      <c r="L188" s="66" t="s">
        <v>158</v>
      </c>
    </row>
    <row r="189" spans="2:32" x14ac:dyDescent="0.2">
      <c r="B189" s="22" t="s">
        <v>159</v>
      </c>
      <c r="C189" s="168">
        <f>353.13+336.45+85.44</f>
        <v>775.02</v>
      </c>
      <c r="D189" s="172">
        <v>437.92770090099998</v>
      </c>
      <c r="E189" s="175">
        <v>867.74</v>
      </c>
      <c r="F189" s="175">
        <v>404.41</v>
      </c>
      <c r="G189" s="178">
        <v>822</v>
      </c>
      <c r="H189" s="178">
        <v>425.81260878900002</v>
      </c>
      <c r="I189" s="168"/>
      <c r="J189" s="168">
        <v>415</v>
      </c>
      <c r="K189" s="89">
        <f>C189+E189+G189+I189</f>
        <v>2464.7600000000002</v>
      </c>
      <c r="L189" s="57">
        <f>D189+F189+H189+J189</f>
        <v>1683.1503096900001</v>
      </c>
    </row>
    <row r="190" spans="2:32" x14ac:dyDescent="0.2">
      <c r="B190" s="22" t="s">
        <v>160</v>
      </c>
      <c r="C190" s="169"/>
      <c r="D190" s="173"/>
      <c r="E190" s="176"/>
      <c r="F190" s="176"/>
      <c r="G190" s="179"/>
      <c r="H190" s="179"/>
      <c r="I190" s="169"/>
      <c r="J190" s="169"/>
      <c r="K190" s="57">
        <f t="shared" ref="K190:L191" si="145">C190+E190+G190+I190</f>
        <v>0</v>
      </c>
      <c r="L190" s="57">
        <f t="shared" si="145"/>
        <v>0</v>
      </c>
    </row>
    <row r="191" spans="2:32" x14ac:dyDescent="0.2">
      <c r="B191" s="22" t="s">
        <v>161</v>
      </c>
      <c r="C191" s="170"/>
      <c r="D191" s="174"/>
      <c r="E191" s="177"/>
      <c r="F191" s="177"/>
      <c r="G191" s="180"/>
      <c r="H191" s="180"/>
      <c r="I191" s="170"/>
      <c r="J191" s="170"/>
      <c r="K191" s="57">
        <f t="shared" si="145"/>
        <v>0</v>
      </c>
      <c r="L191" s="57">
        <f t="shared" si="145"/>
        <v>0</v>
      </c>
    </row>
    <row r="192" spans="2:32" s="52" customFormat="1" x14ac:dyDescent="0.2">
      <c r="B192" s="38" t="s">
        <v>162</v>
      </c>
      <c r="C192" s="42">
        <f>+C189+C190+C191</f>
        <v>775.02</v>
      </c>
      <c r="D192" s="42">
        <f t="shared" ref="D192:F192" si="146">+D189+D190+D191</f>
        <v>437.92770090099998</v>
      </c>
      <c r="E192" s="51">
        <f>+E189+E190+E191</f>
        <v>867.74</v>
      </c>
      <c r="F192" s="42">
        <f t="shared" si="146"/>
        <v>404.41</v>
      </c>
      <c r="G192" s="42">
        <f>+G189+G190+G191</f>
        <v>822</v>
      </c>
      <c r="H192" s="42">
        <f t="shared" ref="H192" si="147">+H189+H190+H191</f>
        <v>425.81260878900002</v>
      </c>
      <c r="I192" s="42">
        <f>+I189+I190+I191</f>
        <v>0</v>
      </c>
      <c r="J192" s="42">
        <f t="shared" ref="J192" si="148">+J189+J190+J191</f>
        <v>415</v>
      </c>
      <c r="K192" s="42">
        <f>+K189+K190+K191</f>
        <v>2464.7600000000002</v>
      </c>
      <c r="L192" s="42">
        <f t="shared" ref="L192" si="149">+L189+L190+L191</f>
        <v>1683.1503096900001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s="52" customFormat="1" x14ac:dyDescent="0.2">
      <c r="E193" s="136"/>
      <c r="G193" s="136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s="52" customFormat="1" x14ac:dyDescent="0.2">
      <c r="E194" s="136"/>
      <c r="G194" s="136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29.25" customHeight="1" x14ac:dyDescent="0.2">
      <c r="A195" s="67" t="s">
        <v>145</v>
      </c>
      <c r="B195" s="171" t="s">
        <v>163</v>
      </c>
      <c r="C195" s="171"/>
      <c r="D195" s="171"/>
      <c r="E195" s="171"/>
      <c r="F195" s="171"/>
      <c r="G195" s="171"/>
      <c r="H195" s="171"/>
      <c r="I195" s="171"/>
      <c r="J195" s="171"/>
      <c r="K195" s="171"/>
      <c r="L195" s="171"/>
      <c r="N195" s="64"/>
      <c r="O195" s="64"/>
    </row>
    <row r="197" spans="1:22" x14ac:dyDescent="0.2">
      <c r="C197" s="3">
        <v>384.59119561425001</v>
      </c>
      <c r="E197" s="10">
        <v>513.06699734100005</v>
      </c>
      <c r="G197" s="10">
        <v>421.82586808899998</v>
      </c>
      <c r="H197" s="164"/>
    </row>
    <row r="203" spans="1:22" hidden="1" x14ac:dyDescent="0.2">
      <c r="B203" s="3" t="s">
        <v>164</v>
      </c>
      <c r="C203" s="68">
        <f>IF(ISBLANK(C109),"",C109)</f>
        <v>598.32266358504</v>
      </c>
      <c r="D203" s="68"/>
      <c r="E203" s="137">
        <f>IF(ISBLANK(E109),"",E109)</f>
        <v>671.09250349603894</v>
      </c>
      <c r="F203" s="68"/>
      <c r="G203" s="137">
        <f>IF(ISBLANK(G109),"",G109)</f>
        <v>676.569509896</v>
      </c>
      <c r="H203" s="68"/>
      <c r="I203" s="68" t="str">
        <f>IF(ISBLANK(I109),"",I109)</f>
        <v/>
      </c>
      <c r="J203" s="68"/>
      <c r="K203" s="45">
        <f>LOOKUP(2,1/(C203:J203&lt;&gt;""),C203:J203)</f>
        <v>676.569509896</v>
      </c>
    </row>
    <row r="204" spans="1:22" hidden="1" x14ac:dyDescent="0.2">
      <c r="B204" s="3" t="s">
        <v>5</v>
      </c>
      <c r="C204" s="45"/>
      <c r="D204" s="68">
        <f>IF(ISBLANK(D109),"",D109)</f>
        <v>681.78</v>
      </c>
      <c r="F204" s="68">
        <f>IF(ISBLANK(F109),"",F109)</f>
        <v>716.5</v>
      </c>
      <c r="H204" s="68">
        <f>IF(ISBLANK(H109),"",H109)</f>
        <v>751.21</v>
      </c>
      <c r="I204" s="45"/>
      <c r="J204" s="68">
        <f>IF(ISBLANK(J109),"",J109)</f>
        <v>770.465530801</v>
      </c>
      <c r="K204" s="45">
        <f>LOOKUP(2,1/(C204:J204&lt;&gt;""),C204:J204)</f>
        <v>770.465530801</v>
      </c>
    </row>
    <row r="205" spans="1:22" hidden="1" x14ac:dyDescent="0.2">
      <c r="B205" s="3" t="s">
        <v>2</v>
      </c>
      <c r="C205" s="68">
        <f>IF(C110=0,"",C110)</f>
        <v>671.09250349603894</v>
      </c>
      <c r="E205" s="137">
        <f>IF(E110=0,"",E110)</f>
        <v>676.569509896</v>
      </c>
      <c r="G205" s="137">
        <f>IF(G110=0,"",G110)</f>
        <v>656.20421586299994</v>
      </c>
      <c r="I205" s="68" t="str">
        <f>IF(I110=0,"",I110)</f>
        <v/>
      </c>
      <c r="K205" s="45">
        <f>LOOKUP(2,1/(C205:J205&lt;&gt;""),C205:J205)</f>
        <v>656.20421586299994</v>
      </c>
    </row>
    <row r="206" spans="1:22" hidden="1" x14ac:dyDescent="0.2">
      <c r="C206"/>
      <c r="D206" s="68">
        <f>IF(D110=0,"",D110)</f>
        <v>716.5</v>
      </c>
      <c r="F206" s="68">
        <f>IF(F110=0,"",F110)</f>
        <v>751.21</v>
      </c>
      <c r="H206" s="68">
        <f>IF(H110=0,"",H110)</f>
        <v>770.465530801</v>
      </c>
      <c r="J206" s="68">
        <f>IF(J110=0,"",J110)</f>
        <v>735.085714747</v>
      </c>
      <c r="K206" s="45">
        <f>LOOKUP(2,1/(C206:J206&lt;&gt;""),C206:J206)</f>
        <v>735.085714747</v>
      </c>
    </row>
    <row r="207" spans="1:22" hidden="1" x14ac:dyDescent="0.2"/>
    <row r="208" spans="1:22" hidden="1" x14ac:dyDescent="0.2">
      <c r="B208" s="3" t="s">
        <v>165</v>
      </c>
      <c r="C208" s="69">
        <f t="shared" ref="C208:J208" si="150">C61</f>
        <v>67109.250349603943</v>
      </c>
      <c r="D208" s="69">
        <f t="shared" si="150"/>
        <v>71649.965929199971</v>
      </c>
      <c r="E208" s="138">
        <f t="shared" si="150"/>
        <v>67656.95098959998</v>
      </c>
      <c r="F208" s="69">
        <f t="shared" si="150"/>
        <v>75121.119999999995</v>
      </c>
      <c r="G208" s="138">
        <f t="shared" si="150"/>
        <v>65620.421586299955</v>
      </c>
      <c r="H208" s="69">
        <f t="shared" si="150"/>
        <v>77046.55</v>
      </c>
      <c r="I208" s="69">
        <f t="shared" si="150"/>
        <v>0</v>
      </c>
      <c r="J208" s="69">
        <f t="shared" si="150"/>
        <v>73508.571474699958</v>
      </c>
      <c r="K208" s="69"/>
    </row>
    <row r="209" spans="2:11" hidden="1" x14ac:dyDescent="0.2">
      <c r="B209" s="3" t="s">
        <v>5</v>
      </c>
      <c r="C209" s="69">
        <f>IF(C208=0,"",C208)</f>
        <v>67109.250349603943</v>
      </c>
      <c r="D209" s="70"/>
      <c r="E209" s="138">
        <f t="shared" ref="E209" si="151">IF(E208=0,"",E208)</f>
        <v>67656.95098959998</v>
      </c>
      <c r="F209" s="70"/>
      <c r="G209" s="138">
        <f t="shared" ref="G209" si="152">IF(G208=0,"",G208)</f>
        <v>65620.421586299955</v>
      </c>
      <c r="H209" s="70"/>
      <c r="I209" s="69" t="str">
        <f t="shared" ref="I209" si="153">IF(I208=0,"",I208)</f>
        <v/>
      </c>
      <c r="J209" s="70"/>
      <c r="K209" s="69">
        <f>LOOKUP(2,1/(C209:J209&lt;&gt;""),C209:J209)</f>
        <v>65620.421586299955</v>
      </c>
    </row>
    <row r="210" spans="2:11" hidden="1" x14ac:dyDescent="0.2">
      <c r="B210" s="3" t="s">
        <v>2</v>
      </c>
      <c r="C210" s="70"/>
      <c r="D210" s="69">
        <f>IF(D208=0,"",D208)</f>
        <v>71649.965929199971</v>
      </c>
      <c r="E210" s="137"/>
      <c r="F210" s="69">
        <f>IF(F208=0,"",F208)</f>
        <v>75121.119999999995</v>
      </c>
      <c r="G210" s="137"/>
      <c r="H210" s="69">
        <f>IF(H208=0,"",H208)</f>
        <v>77046.55</v>
      </c>
      <c r="I210" s="70"/>
      <c r="J210" s="69">
        <f>IF(J208=0,"",J208)</f>
        <v>73508.571474699958</v>
      </c>
      <c r="K210" s="69">
        <f>LOOKUP(2,1/(C210:J210&lt;&gt;""),C210:J210)</f>
        <v>73508.571474699958</v>
      </c>
    </row>
    <row r="211" spans="2:11" customFormat="1" hidden="1" x14ac:dyDescent="0.2">
      <c r="E211" s="126"/>
      <c r="G211" s="126"/>
    </row>
    <row r="212" spans="2:11" customFormat="1" hidden="1" x14ac:dyDescent="0.2">
      <c r="E212" s="126"/>
      <c r="G212" s="126"/>
    </row>
    <row r="213" spans="2:11" hidden="1" x14ac:dyDescent="0.2">
      <c r="B213" s="3" t="s">
        <v>166</v>
      </c>
      <c r="C213" s="69">
        <f t="shared" ref="C213:J213" si="154">C81</f>
        <v>84633.930913500008</v>
      </c>
      <c r="D213" s="69">
        <f t="shared" si="154"/>
        <v>93767.77</v>
      </c>
      <c r="E213" s="138">
        <f t="shared" si="154"/>
        <v>82586.02</v>
      </c>
      <c r="F213" s="69">
        <f t="shared" si="154"/>
        <v>113609.5107626</v>
      </c>
      <c r="G213" s="138">
        <f t="shared" si="154"/>
        <v>78066.47</v>
      </c>
      <c r="H213" s="69">
        <f t="shared" si="154"/>
        <v>92863.816839900013</v>
      </c>
      <c r="I213" s="69">
        <f t="shared" si="154"/>
        <v>0</v>
      </c>
      <c r="J213" s="69">
        <f t="shared" si="154"/>
        <v>96906.338768000001</v>
      </c>
      <c r="K213" s="69"/>
    </row>
    <row r="214" spans="2:11" hidden="1" x14ac:dyDescent="0.2">
      <c r="B214" s="3" t="s">
        <v>5</v>
      </c>
      <c r="C214" s="69">
        <f>IF(C213=0,"",C213)</f>
        <v>84633.930913500008</v>
      </c>
      <c r="D214" s="70"/>
      <c r="E214" s="138">
        <f t="shared" ref="E214:I214" si="155">IF(E213=0,"",E213)</f>
        <v>82586.02</v>
      </c>
      <c r="F214" s="70"/>
      <c r="G214" s="138">
        <f t="shared" si="155"/>
        <v>78066.47</v>
      </c>
      <c r="H214" s="70"/>
      <c r="I214" s="69" t="str">
        <f t="shared" si="155"/>
        <v/>
      </c>
      <c r="J214" s="70"/>
      <c r="K214" s="69">
        <f>LOOKUP(2,1/(C214:J214&lt;&gt;""),C214:J214)</f>
        <v>78066.47</v>
      </c>
    </row>
    <row r="215" spans="2:11" hidden="1" x14ac:dyDescent="0.2">
      <c r="B215" s="3" t="s">
        <v>2</v>
      </c>
      <c r="C215" s="70"/>
      <c r="D215" s="69">
        <f>IF(D213=0,"",D213)</f>
        <v>93767.77</v>
      </c>
      <c r="E215" s="137"/>
      <c r="F215" s="69">
        <f>IF(F213=0,"",F213)</f>
        <v>113609.5107626</v>
      </c>
      <c r="G215" s="137"/>
      <c r="H215" s="69">
        <f>IF(H213=0,"",H213)</f>
        <v>92863.816839900013</v>
      </c>
      <c r="I215" s="70"/>
      <c r="J215" s="69">
        <f>IF(J213=0,"",J213)</f>
        <v>96906.338768000001</v>
      </c>
      <c r="K215" s="69">
        <f>LOOKUP(2,1/(C215:J215&lt;&gt;""),C215:J215)</f>
        <v>96906.338768000001</v>
      </c>
    </row>
    <row r="216" spans="2:11" hidden="1" x14ac:dyDescent="0.2"/>
    <row r="217" spans="2:11" hidden="1" x14ac:dyDescent="0.2">
      <c r="B217" s="3" t="s">
        <v>167</v>
      </c>
      <c r="C217" s="71" t="e">
        <f>C73+#REF!+#REF!</f>
        <v>#REF!</v>
      </c>
      <c r="D217" s="71" t="e">
        <f>D73+#REF!+#REF!</f>
        <v>#REF!</v>
      </c>
      <c r="E217" s="138" t="e">
        <f>E73+#REF!+#REF!</f>
        <v>#REF!</v>
      </c>
      <c r="F217" s="71" t="e">
        <f>F73+#REF!+#REF!</f>
        <v>#REF!</v>
      </c>
      <c r="G217" s="138" t="e">
        <f>G73+#REF!+#REF!</f>
        <v>#REF!</v>
      </c>
      <c r="H217" s="71" t="e">
        <f>H73+#REF!+#REF!</f>
        <v>#REF!</v>
      </c>
      <c r="I217" s="71" t="e">
        <f>I73+#REF!+#REF!</f>
        <v>#REF!</v>
      </c>
      <c r="J217" s="71" t="e">
        <f>J73+#REF!+#REF!</f>
        <v>#REF!</v>
      </c>
      <c r="K217" s="72"/>
    </row>
    <row r="218" spans="2:11" hidden="1" x14ac:dyDescent="0.2">
      <c r="B218" s="3" t="s">
        <v>5</v>
      </c>
      <c r="C218" s="71" t="e">
        <f>IF(C217=0,"",C217)</f>
        <v>#REF!</v>
      </c>
      <c r="D218" s="70"/>
      <c r="E218" s="138" t="e">
        <f>IF(E217=0,"",E217)</f>
        <v>#REF!</v>
      </c>
      <c r="F218" s="70"/>
      <c r="G218" s="138" t="e">
        <f>IF(G217=0,"",G217)</f>
        <v>#REF!</v>
      </c>
      <c r="H218" s="70"/>
      <c r="I218" s="71" t="e">
        <f>IF(I217=0,"",I217)</f>
        <v>#REF!</v>
      </c>
      <c r="J218" s="70"/>
      <c r="K218" s="71" t="e">
        <f>LOOKUP(2,1/(C218:J218&lt;&gt;""),C218:J218)</f>
        <v>#N/A</v>
      </c>
    </row>
    <row r="219" spans="2:11" hidden="1" x14ac:dyDescent="0.2">
      <c r="B219" s="3" t="s">
        <v>2</v>
      </c>
      <c r="D219" s="71" t="e">
        <f>IF(D217=0,"",D217)</f>
        <v>#REF!</v>
      </c>
      <c r="F219" s="71" t="e">
        <f>IF(F217=0,"",F217)</f>
        <v>#REF!</v>
      </c>
      <c r="H219" s="71" t="e">
        <f>IF(H217=0,"",H217)</f>
        <v>#REF!</v>
      </c>
      <c r="J219" s="71" t="e">
        <f>IF(J217=0,"",J217)</f>
        <v>#REF!</v>
      </c>
      <c r="K219" s="71" t="e">
        <f>LOOKUP(2,1/(C219:J219&lt;&gt;""),C219:J219)</f>
        <v>#N/A</v>
      </c>
    </row>
    <row r="220" spans="2:11" hidden="1" x14ac:dyDescent="0.2"/>
    <row r="221" spans="2:11" hidden="1" x14ac:dyDescent="0.2"/>
  </sheetData>
  <mergeCells count="63">
    <mergeCell ref="D2:H2"/>
    <mergeCell ref="H9:L9"/>
    <mergeCell ref="C11:D11"/>
    <mergeCell ref="E11:F11"/>
    <mergeCell ref="G11:H11"/>
    <mergeCell ref="I11:J11"/>
    <mergeCell ref="K11:L11"/>
    <mergeCell ref="C86:D86"/>
    <mergeCell ref="E86:F86"/>
    <mergeCell ref="G86:H86"/>
    <mergeCell ref="I86:J86"/>
    <mergeCell ref="K86:L86"/>
    <mergeCell ref="C34:D34"/>
    <mergeCell ref="E34:F34"/>
    <mergeCell ref="G34:H34"/>
    <mergeCell ref="I34:J34"/>
    <mergeCell ref="K34:L34"/>
    <mergeCell ref="C133:D133"/>
    <mergeCell ref="E133:F133"/>
    <mergeCell ref="G133:H133"/>
    <mergeCell ref="I133:J133"/>
    <mergeCell ref="K133:L133"/>
    <mergeCell ref="C119:D119"/>
    <mergeCell ref="E119:F119"/>
    <mergeCell ref="G119:H119"/>
    <mergeCell ref="I119:J119"/>
    <mergeCell ref="K119:L119"/>
    <mergeCell ref="AA169:AF169"/>
    <mergeCell ref="H148:L148"/>
    <mergeCell ref="C149:D149"/>
    <mergeCell ref="E149:F149"/>
    <mergeCell ref="G149:H149"/>
    <mergeCell ref="I149:J149"/>
    <mergeCell ref="K149:L149"/>
    <mergeCell ref="B164:L164"/>
    <mergeCell ref="C169:H169"/>
    <mergeCell ref="I169:N169"/>
    <mergeCell ref="O169:T169"/>
    <mergeCell ref="U169:Z169"/>
    <mergeCell ref="U170:W170"/>
    <mergeCell ref="X170:Z170"/>
    <mergeCell ref="AA170:AC170"/>
    <mergeCell ref="AD170:AF170"/>
    <mergeCell ref="C186:D186"/>
    <mergeCell ref="E186:F186"/>
    <mergeCell ref="G186:H186"/>
    <mergeCell ref="I186:J186"/>
    <mergeCell ref="K186:L186"/>
    <mergeCell ref="C170:E170"/>
    <mergeCell ref="F170:H170"/>
    <mergeCell ref="I170:K170"/>
    <mergeCell ref="L170:N170"/>
    <mergeCell ref="O170:Q170"/>
    <mergeCell ref="R170:T170"/>
    <mergeCell ref="I189:I191"/>
    <mergeCell ref="J189:J191"/>
    <mergeCell ref="B195:L195"/>
    <mergeCell ref="C189:C191"/>
    <mergeCell ref="D189:D191"/>
    <mergeCell ref="E189:E191"/>
    <mergeCell ref="F189:F191"/>
    <mergeCell ref="G189:G191"/>
    <mergeCell ref="H189:H191"/>
  </mergeCells>
  <conditionalFormatting sqref="C84:J84">
    <cfRule type="expression" dxfId="0" priority="1">
      <formula>ROUND(C84,1)=0</formula>
    </cfRule>
  </conditionalFormatting>
  <dataValidations count="3">
    <dataValidation type="list" allowBlank="1" showInputMessage="1" showErrorMessage="1" sqref="C31:J31" xr:uid="{00000000-0002-0000-0100-000000000000}">
      <formula1>"Yes,No"</formula1>
    </dataValidation>
    <dataValidation type="decimal" operator="greaterThan" allowBlank="1" showInputMessage="1" showErrorMessage="1" sqref="C109:J109 C110:D110" xr:uid="{00000000-0002-0000-0100-000001000000}">
      <formula1>0</formula1>
    </dataValidation>
    <dataValidation type="list" allowBlank="1" showInputMessage="1" showErrorMessage="1" sqref="B5" xr:uid="{00000000-0002-0000-0100-000002000000}">
      <formula1>$V$5:$V$11</formula1>
    </dataValidation>
  </dataValidation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57" workbookViewId="0">
      <selection activeCell="C66" sqref="A58:C66"/>
    </sheetView>
  </sheetViews>
  <sheetFormatPr baseColWidth="10" defaultColWidth="8.66406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</vt:lpstr>
      <vt:lpstr>Rev01 2.2 (3)</vt:lpstr>
      <vt:lpstr>Sheet1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Haider Saikh</dc:creator>
  <cp:lastModifiedBy>Microsoft Office User</cp:lastModifiedBy>
  <dcterms:created xsi:type="dcterms:W3CDTF">2021-12-23T08:10:52Z</dcterms:created>
  <dcterms:modified xsi:type="dcterms:W3CDTF">2026-02-27T00:56:27Z</dcterms:modified>
</cp:coreProperties>
</file>